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Z:\СОВЕТ ДЕПУТАТОВ 2021,2022\2025\68 АПРЕЛЬ\Исполнение бюджета 2024\"/>
    </mc:Choice>
  </mc:AlternateContent>
  <xr:revisionPtr revIDLastSave="0" documentId="13_ncr:1_{B908A9EC-DE95-43B1-B3EF-372D46036AB6}" xr6:coauthVersionLast="47" xr6:coauthVersionMax="47" xr10:uidLastSave="{00000000-0000-0000-0000-000000000000}"/>
  <bookViews>
    <workbookView xWindow="-120" yWindow="-120" windowWidth="29040" windowHeight="15840" tabRatio="555" firstSheet="2" activeTab="2" xr2:uid="{00000000-000D-0000-FFFF-FFFF00000000}"/>
  </bookViews>
  <sheets>
    <sheet name="Функц. 2024-2026" sheetId="7" state="hidden" r:id="rId1"/>
    <sheet name="Целевые 2024-2026" sheetId="9" state="hidden" r:id="rId2"/>
    <sheet name="Р., Пр.2024-2026" sheetId="10" r:id="rId3"/>
    <sheet name="ведом. 2024-2026" sheetId="2" state="hidden" r:id="rId4"/>
  </sheets>
  <definedNames>
    <definedName name="_xlnm.Print_Titles" localSheetId="3">'ведом. 2024-2026'!$6:$7</definedName>
    <definedName name="_xlnm.Print_Titles" localSheetId="0">'Функц. 2024-2026'!$9:$10</definedName>
    <definedName name="_xlnm.Print_Titles" localSheetId="1">'Целевые 2024-2026'!$8:$9</definedName>
    <definedName name="_xlnm.Print_Area" localSheetId="3">'ведом. 2024-2026'!$B$1:$AG$1049</definedName>
    <definedName name="_xlnm.Print_Area" localSheetId="2">'Р., Пр.2024-2026'!$A$1:$G$57</definedName>
    <definedName name="_xlnm.Print_Area" localSheetId="0">'Функц. 2024-2026'!$A$1:$M$892</definedName>
    <definedName name="_xlnm.Print_Area" localSheetId="1">'Целевые 2024-2026'!$A$1:$AE$729</definedName>
  </definedNames>
  <calcPr calcId="191029" iterateDelta="1E-4"/>
</workbook>
</file>

<file path=xl/calcChain.xml><?xml version="1.0" encoding="utf-8"?>
<calcChain xmlns="http://schemas.openxmlformats.org/spreadsheetml/2006/main">
  <c r="AE158" i="2" l="1"/>
  <c r="H237" i="7" s="1"/>
  <c r="AF809" i="2"/>
  <c r="AE809" i="2"/>
  <c r="H248" i="7"/>
  <c r="H214" i="7"/>
  <c r="H205" i="7"/>
  <c r="H162" i="7"/>
  <c r="H121" i="7"/>
  <c r="H90" i="7"/>
  <c r="H60" i="7"/>
  <c r="H25" i="7"/>
  <c r="H777" i="7"/>
  <c r="H795" i="7"/>
  <c r="H799" i="7"/>
  <c r="H802" i="7"/>
  <c r="H883" i="7"/>
  <c r="AE1013" i="2"/>
  <c r="H472" i="7" l="1"/>
  <c r="H430" i="7"/>
  <c r="H435" i="7"/>
  <c r="AE939" i="2"/>
  <c r="H478" i="7" s="1"/>
  <c r="AE122" i="2" l="1"/>
  <c r="G228" i="9" l="1"/>
  <c r="D350" i="9"/>
  <c r="D349" i="9" s="1"/>
  <c r="D348" i="9" s="1"/>
  <c r="H697" i="9"/>
  <c r="I697" i="9"/>
  <c r="J697" i="9"/>
  <c r="K697" i="9"/>
  <c r="L697" i="9"/>
  <c r="M697" i="9"/>
  <c r="N697" i="9"/>
  <c r="O697" i="9"/>
  <c r="P697" i="9"/>
  <c r="Q697" i="9"/>
  <c r="R697" i="9"/>
  <c r="S697" i="9"/>
  <c r="T697" i="9"/>
  <c r="U697" i="9"/>
  <c r="V697" i="9"/>
  <c r="W697" i="9"/>
  <c r="X697" i="9"/>
  <c r="Y697" i="9"/>
  <c r="Z697" i="9"/>
  <c r="AA697" i="9"/>
  <c r="AB697" i="9"/>
  <c r="AC697" i="9"/>
  <c r="AD697" i="9"/>
  <c r="AE697" i="9"/>
  <c r="B721" i="9"/>
  <c r="B720" i="9" s="1"/>
  <c r="D639" i="9"/>
  <c r="D638" i="9" s="1"/>
  <c r="E227" i="9" l="1"/>
  <c r="E226" i="9" s="1"/>
  <c r="AE949" i="2"/>
  <c r="H488" i="7" s="1"/>
  <c r="AE967" i="2"/>
  <c r="L882" i="7"/>
  <c r="L881" i="7" s="1"/>
  <c r="M185" i="7"/>
  <c r="M547" i="7"/>
  <c r="M633" i="7"/>
  <c r="M766" i="7"/>
  <c r="M843" i="7"/>
  <c r="M883" i="7"/>
  <c r="L417" i="7"/>
  <c r="L416" i="7" s="1"/>
  <c r="L481" i="7"/>
  <c r="L478" i="7"/>
  <c r="M478" i="7" s="1"/>
  <c r="L411" i="7"/>
  <c r="L668" i="7"/>
  <c r="L667" i="7" s="1"/>
  <c r="L568" i="7"/>
  <c r="L632" i="7"/>
  <c r="L631" i="7" s="1"/>
  <c r="L729" i="7"/>
  <c r="M729" i="7" s="1"/>
  <c r="L725" i="7"/>
  <c r="L604" i="7"/>
  <c r="L603" i="7" s="1"/>
  <c r="L591" i="7"/>
  <c r="L615" i="7"/>
  <c r="L614" i="7" s="1"/>
  <c r="L874" i="7"/>
  <c r="L873" i="7" s="1"/>
  <c r="L647" i="7"/>
  <c r="L646" i="7" s="1"/>
  <c r="L757" i="7"/>
  <c r="L799" i="7"/>
  <c r="L739" i="7"/>
  <c r="L738" i="7" s="1"/>
  <c r="L184" i="7"/>
  <c r="L183" i="7" s="1"/>
  <c r="L182" i="7" s="1"/>
  <c r="L181" i="7" s="1"/>
  <c r="L721" i="7"/>
  <c r="L765" i="7"/>
  <c r="L755" i="7"/>
  <c r="M755" i="7" s="1"/>
  <c r="I418" i="7"/>
  <c r="M418" i="7" s="1"/>
  <c r="L630" i="7" l="1"/>
  <c r="L880" i="7"/>
  <c r="L862" i="7"/>
  <c r="L613" i="7"/>
  <c r="L734" i="7"/>
  <c r="L656" i="7"/>
  <c r="L645" i="7"/>
  <c r="L410" i="7"/>
  <c r="L764" i="7"/>
  <c r="L756" i="7"/>
  <c r="L798" i="7"/>
  <c r="L590" i="7"/>
  <c r="L567" i="7"/>
  <c r="L480" i="7"/>
  <c r="J92" i="7"/>
  <c r="H92" i="7"/>
  <c r="F92" i="7"/>
  <c r="D438" i="9" s="1"/>
  <c r="D437" i="9" s="1"/>
  <c r="J791" i="7"/>
  <c r="J774" i="7"/>
  <c r="J725" i="7"/>
  <c r="J723" i="7"/>
  <c r="J666" i="7"/>
  <c r="J472" i="7"/>
  <c r="J461" i="7"/>
  <c r="I419" i="7"/>
  <c r="J409" i="7"/>
  <c r="F361" i="9" s="1"/>
  <c r="H409" i="7"/>
  <c r="F409" i="7"/>
  <c r="J398" i="7"/>
  <c r="F350" i="9" s="1"/>
  <c r="H398" i="7"/>
  <c r="F397" i="7"/>
  <c r="F396" i="7" s="1"/>
  <c r="J383" i="7"/>
  <c r="F639" i="9" s="1"/>
  <c r="H383" i="7"/>
  <c r="J198" i="7"/>
  <c r="F349" i="9" l="1"/>
  <c r="L763" i="7"/>
  <c r="H408" i="7"/>
  <c r="H407" i="7" s="1"/>
  <c r="E361" i="9"/>
  <c r="E360" i="9" s="1"/>
  <c r="E359" i="9" s="1"/>
  <c r="H397" i="7"/>
  <c r="H396" i="7" s="1"/>
  <c r="E350" i="9"/>
  <c r="E349" i="9" s="1"/>
  <c r="E348" i="9" s="1"/>
  <c r="F360" i="9"/>
  <c r="F438" i="9"/>
  <c r="E438" i="9"/>
  <c r="E437" i="9" s="1"/>
  <c r="L655" i="7"/>
  <c r="F408" i="7"/>
  <c r="F407" i="7" s="1"/>
  <c r="D361" i="9"/>
  <c r="D360" i="9" s="1"/>
  <c r="D359" i="9" s="1"/>
  <c r="L733" i="7"/>
  <c r="L566" i="7"/>
  <c r="L629" i="7"/>
  <c r="H382" i="7"/>
  <c r="E639" i="9"/>
  <c r="E638" i="9" s="1"/>
  <c r="F638" i="9"/>
  <c r="L797" i="7"/>
  <c r="J408" i="7"/>
  <c r="K409" i="7"/>
  <c r="J91" i="7"/>
  <c r="K92" i="7"/>
  <c r="J382" i="7"/>
  <c r="K383" i="7"/>
  <c r="J397" i="7"/>
  <c r="K398" i="7"/>
  <c r="F91" i="7"/>
  <c r="H91" i="7"/>
  <c r="J159" i="7"/>
  <c r="J136" i="7"/>
  <c r="J128" i="7"/>
  <c r="H840" i="7"/>
  <c r="E327" i="9" s="1"/>
  <c r="E326" i="9" s="1"/>
  <c r="E325" i="9" s="1"/>
  <c r="H726" i="7"/>
  <c r="E213" i="9" s="1"/>
  <c r="H723" i="7"/>
  <c r="H708" i="7"/>
  <c r="E190" i="9" s="1"/>
  <c r="E189" i="9" s="1"/>
  <c r="H679" i="7"/>
  <c r="H669" i="7"/>
  <c r="E178" i="9" s="1"/>
  <c r="E177" i="9" s="1"/>
  <c r="E176" i="9" s="1"/>
  <c r="H666" i="7"/>
  <c r="K666" i="7" s="1"/>
  <c r="H659" i="7"/>
  <c r="E168" i="9" s="1"/>
  <c r="E167" i="9" s="1"/>
  <c r="E166" i="9" s="1"/>
  <c r="H648" i="7"/>
  <c r="E99" i="9" s="1"/>
  <c r="E98" i="9" s="1"/>
  <c r="E97" i="9" s="1"/>
  <c r="E96" i="9" s="1"/>
  <c r="H644" i="7"/>
  <c r="E95" i="9" s="1"/>
  <c r="E94" i="9" s="1"/>
  <c r="E93" i="9" s="1"/>
  <c r="E92" i="9" s="1"/>
  <c r="H626" i="7"/>
  <c r="H620" i="7"/>
  <c r="E163" i="9" s="1"/>
  <c r="E162" i="9" s="1"/>
  <c r="E161" i="9" s="1"/>
  <c r="E160" i="9" s="1"/>
  <c r="H592" i="7"/>
  <c r="E132" i="9" s="1"/>
  <c r="E131" i="9" s="1"/>
  <c r="E130" i="9" s="1"/>
  <c r="H569" i="7"/>
  <c r="E148" i="9" s="1"/>
  <c r="E147" i="9" s="1"/>
  <c r="E146" i="9" s="1"/>
  <c r="H532" i="7"/>
  <c r="E653" i="9" s="1"/>
  <c r="E652" i="9" s="1"/>
  <c r="H524" i="7"/>
  <c r="E622" i="9" s="1"/>
  <c r="E621" i="9" s="1"/>
  <c r="H522" i="7"/>
  <c r="E620" i="9" s="1"/>
  <c r="E619" i="9" s="1"/>
  <c r="E249" i="9"/>
  <c r="E248" i="9" s="1"/>
  <c r="E247" i="9" s="1"/>
  <c r="E246" i="9" s="1"/>
  <c r="H861" i="7"/>
  <c r="E231" i="9" s="1"/>
  <c r="E230" i="9" s="1"/>
  <c r="H858" i="7"/>
  <c r="E229" i="9" s="1"/>
  <c r="E225" i="9" s="1"/>
  <c r="E224" i="9" s="1"/>
  <c r="E86" i="9"/>
  <c r="E85" i="9" s="1"/>
  <c r="E84" i="9" s="1"/>
  <c r="E79" i="9"/>
  <c r="E78" i="9" s="1"/>
  <c r="E77" i="9" s="1"/>
  <c r="E76" i="9" s="1"/>
  <c r="E61" i="9"/>
  <c r="E60" i="9" s="1"/>
  <c r="E59" i="9" s="1"/>
  <c r="H758" i="7"/>
  <c r="E42" i="9" s="1"/>
  <c r="E41" i="9" s="1"/>
  <c r="E40" i="9" s="1"/>
  <c r="H749" i="7"/>
  <c r="E33" i="9" s="1"/>
  <c r="E32" i="9" s="1"/>
  <c r="E31" i="9" s="1"/>
  <c r="H740" i="7"/>
  <c r="E24" i="9" s="1"/>
  <c r="E23" i="9" s="1"/>
  <c r="E22" i="9" s="1"/>
  <c r="H449" i="7"/>
  <c r="E281" i="9" s="1"/>
  <c r="E280" i="9" s="1"/>
  <c r="E716" i="9"/>
  <c r="E715" i="9" s="1"/>
  <c r="E714" i="9" s="1"/>
  <c r="H365" i="7"/>
  <c r="E376" i="9" s="1"/>
  <c r="E375" i="9" s="1"/>
  <c r="E374" i="9" s="1"/>
  <c r="E373" i="9" s="1"/>
  <c r="E372" i="9" s="1"/>
  <c r="E371" i="9" s="1"/>
  <c r="H359" i="7"/>
  <c r="E284" i="9" s="1"/>
  <c r="E283" i="9" s="1"/>
  <c r="E282" i="9" s="1"/>
  <c r="H306" i="7"/>
  <c r="E522" i="9" s="1"/>
  <c r="E521" i="9" s="1"/>
  <c r="E520" i="9" s="1"/>
  <c r="H303" i="7"/>
  <c r="H302" i="7" s="1"/>
  <c r="E519" i="9" s="1"/>
  <c r="E518" i="9" s="1"/>
  <c r="E517" i="9" s="1"/>
  <c r="J211" i="7"/>
  <c r="F722" i="9" s="1"/>
  <c r="H211" i="7"/>
  <c r="F211" i="7"/>
  <c r="D210" i="7"/>
  <c r="D209" i="7" s="1"/>
  <c r="E725" i="9"/>
  <c r="E724" i="9" s="1"/>
  <c r="E723" i="9" s="1"/>
  <c r="E713" i="9"/>
  <c r="E712" i="9" s="1"/>
  <c r="E711" i="9" s="1"/>
  <c r="E458" i="9"/>
  <c r="E457" i="9" s="1"/>
  <c r="E456" i="9" s="1"/>
  <c r="E700" i="9"/>
  <c r="E699" i="9" s="1"/>
  <c r="E698" i="9" s="1"/>
  <c r="E436" i="9"/>
  <c r="E435" i="9" s="1"/>
  <c r="H80" i="7"/>
  <c r="E728" i="9" s="1"/>
  <c r="E727" i="9" s="1"/>
  <c r="E726" i="9" s="1"/>
  <c r="H18" i="7"/>
  <c r="E418" i="9" s="1"/>
  <c r="E417" i="9" s="1"/>
  <c r="E416" i="9" s="1"/>
  <c r="F18" i="7"/>
  <c r="K382" i="7" l="1"/>
  <c r="E516" i="9"/>
  <c r="E515" i="9" s="1"/>
  <c r="E514" i="9" s="1"/>
  <c r="G639" i="9"/>
  <c r="E618" i="9"/>
  <c r="K723" i="7"/>
  <c r="E210" i="9"/>
  <c r="E209" i="9" s="1"/>
  <c r="G638" i="9"/>
  <c r="F210" i="7"/>
  <c r="F209" i="7" s="1"/>
  <c r="D722" i="9"/>
  <c r="D721" i="9" s="1"/>
  <c r="D720" i="9" s="1"/>
  <c r="H210" i="7"/>
  <c r="H209" i="7" s="1"/>
  <c r="E722" i="9"/>
  <c r="E721" i="9" s="1"/>
  <c r="E720" i="9" s="1"/>
  <c r="K472" i="7"/>
  <c r="E583" i="9"/>
  <c r="E582" i="9" s="1"/>
  <c r="E581" i="9" s="1"/>
  <c r="F721" i="9"/>
  <c r="F437" i="9"/>
  <c r="G437" i="9" s="1"/>
  <c r="G438" i="9"/>
  <c r="G361" i="9"/>
  <c r="G350" i="9"/>
  <c r="L628" i="7"/>
  <c r="F359" i="9"/>
  <c r="G359" i="9" s="1"/>
  <c r="G360" i="9"/>
  <c r="F348" i="9"/>
  <c r="G348" i="9" s="1"/>
  <c r="G349" i="9"/>
  <c r="J396" i="7"/>
  <c r="K396" i="7" s="1"/>
  <c r="K397" i="7"/>
  <c r="J210" i="7"/>
  <c r="K211" i="7"/>
  <c r="K91" i="7"/>
  <c r="J407" i="7"/>
  <c r="K407" i="7" s="1"/>
  <c r="K408" i="7"/>
  <c r="AF752" i="2"/>
  <c r="AF751" i="2" s="1"/>
  <c r="L479" i="7"/>
  <c r="AF183" i="2"/>
  <c r="H882" i="7"/>
  <c r="H881" i="7" s="1"/>
  <c r="H880" i="7" s="1"/>
  <c r="I882" i="7"/>
  <c r="H860" i="7"/>
  <c r="H859" i="7" s="1"/>
  <c r="H857" i="7"/>
  <c r="H856" i="7" s="1"/>
  <c r="I842" i="7"/>
  <c r="I841" i="7" s="1"/>
  <c r="I837" i="7" s="1"/>
  <c r="I836" i="7" s="1"/>
  <c r="H839" i="7"/>
  <c r="H838" i="7" s="1"/>
  <c r="I802" i="7"/>
  <c r="I801" i="7" s="1"/>
  <c r="I800" i="7" s="1"/>
  <c r="H794" i="7"/>
  <c r="H793" i="7" s="1"/>
  <c r="H792" i="7" s="1"/>
  <c r="H776" i="7"/>
  <c r="H775" i="7" s="1"/>
  <c r="I765" i="7"/>
  <c r="H757" i="7"/>
  <c r="H756" i="7" s="1"/>
  <c r="I754" i="7"/>
  <c r="I753" i="7" s="1"/>
  <c r="H748" i="7"/>
  <c r="H747" i="7" s="1"/>
  <c r="H739" i="7"/>
  <c r="H738" i="7" s="1"/>
  <c r="I728" i="7"/>
  <c r="I727" i="7" s="1"/>
  <c r="I725" i="7"/>
  <c r="H722" i="7"/>
  <c r="I721" i="7"/>
  <c r="H707" i="7"/>
  <c r="H678" i="7"/>
  <c r="H677" i="7" s="1"/>
  <c r="H676" i="7" s="1"/>
  <c r="H675" i="7" s="1"/>
  <c r="H674" i="7" s="1"/>
  <c r="I669" i="7"/>
  <c r="H665" i="7"/>
  <c r="H658" i="7"/>
  <c r="H657" i="7" s="1"/>
  <c r="I648" i="7"/>
  <c r="H643" i="7"/>
  <c r="H642" i="7" s="1"/>
  <c r="H641" i="7" s="1"/>
  <c r="I632" i="7"/>
  <c r="H625" i="7"/>
  <c r="H624" i="7" s="1"/>
  <c r="H623" i="7" s="1"/>
  <c r="H622" i="7" s="1"/>
  <c r="H621" i="7" s="1"/>
  <c r="I620" i="7"/>
  <c r="I619" i="7" s="1"/>
  <c r="I618" i="7" s="1"/>
  <c r="I617" i="7" s="1"/>
  <c r="I616" i="7"/>
  <c r="I605" i="7"/>
  <c r="I602" i="7"/>
  <c r="I592" i="7"/>
  <c r="I569" i="7"/>
  <c r="I546" i="7"/>
  <c r="I545" i="7" s="1"/>
  <c r="I544" i="7" s="1"/>
  <c r="H531" i="7"/>
  <c r="I524" i="7"/>
  <c r="I523" i="7" s="1"/>
  <c r="H521" i="7"/>
  <c r="I482" i="7"/>
  <c r="I477" i="7"/>
  <c r="I476" i="7" s="1"/>
  <c r="I464" i="7" s="1"/>
  <c r="H471" i="7"/>
  <c r="H470" i="7" s="1"/>
  <c r="H448" i="7"/>
  <c r="H434" i="7"/>
  <c r="H433" i="7" s="1"/>
  <c r="H432" i="7" s="1"/>
  <c r="H431" i="7" s="1"/>
  <c r="I430" i="7"/>
  <c r="I417" i="7"/>
  <c r="I415" i="7"/>
  <c r="I412" i="7"/>
  <c r="I405" i="7"/>
  <c r="I401" i="7"/>
  <c r="H364" i="7"/>
  <c r="H363" i="7" s="1"/>
  <c r="H362" i="7" s="1"/>
  <c r="H361" i="7" s="1"/>
  <c r="H360" i="7" s="1"/>
  <c r="I359" i="7"/>
  <c r="I358" i="7" s="1"/>
  <c r="I357" i="7" s="1"/>
  <c r="I353" i="7" s="1"/>
  <c r="I352" i="7" s="1"/>
  <c r="I351" i="7" s="1"/>
  <c r="I350" i="7" s="1"/>
  <c r="H305" i="7"/>
  <c r="H304" i="7" s="1"/>
  <c r="H301" i="7"/>
  <c r="H213" i="7"/>
  <c r="H212" i="7" s="1"/>
  <c r="H204" i="7"/>
  <c r="H203" i="7" s="1"/>
  <c r="I184" i="7"/>
  <c r="H161" i="7"/>
  <c r="H160" i="7" s="1"/>
  <c r="H120" i="7"/>
  <c r="H119" i="7" s="1"/>
  <c r="H118" i="7" s="1"/>
  <c r="H117" i="7" s="1"/>
  <c r="E14" i="10" s="1"/>
  <c r="H89" i="7"/>
  <c r="H79" i="7"/>
  <c r="H78" i="7" s="1"/>
  <c r="H77" i="7" s="1"/>
  <c r="H24" i="7"/>
  <c r="H23" i="7" s="1"/>
  <c r="H22" i="7" s="1"/>
  <c r="H21" i="7" s="1"/>
  <c r="H20" i="7" s="1"/>
  <c r="H17" i="7"/>
  <c r="H16" i="7" s="1"/>
  <c r="I724" i="7" l="1"/>
  <c r="M725" i="7"/>
  <c r="L627" i="7"/>
  <c r="I631" i="7"/>
  <c r="M632" i="7"/>
  <c r="I400" i="7"/>
  <c r="I399" i="7" s="1"/>
  <c r="M401" i="7"/>
  <c r="I881" i="7"/>
  <c r="M882" i="7"/>
  <c r="I404" i="7"/>
  <c r="I403" i="7" s="1"/>
  <c r="I402" i="7" s="1"/>
  <c r="M405" i="7"/>
  <c r="I647" i="7"/>
  <c r="M648" i="7"/>
  <c r="H59" i="7"/>
  <c r="E424" i="9"/>
  <c r="E423" i="9" s="1"/>
  <c r="I414" i="7"/>
  <c r="I413" i="7" s="1"/>
  <c r="M415" i="7"/>
  <c r="H664" i="7"/>
  <c r="E175" i="9"/>
  <c r="E174" i="9" s="1"/>
  <c r="E173" i="9" s="1"/>
  <c r="I764" i="7"/>
  <c r="M765" i="7"/>
  <c r="I416" i="7"/>
  <c r="M416" i="7" s="1"/>
  <c r="M417" i="7"/>
  <c r="I568" i="7"/>
  <c r="M569" i="7"/>
  <c r="I668" i="7"/>
  <c r="M669" i="7"/>
  <c r="I481" i="7"/>
  <c r="M482" i="7"/>
  <c r="H798" i="7"/>
  <c r="H797" i="7" s="1"/>
  <c r="E83" i="9"/>
  <c r="E82" i="9" s="1"/>
  <c r="E81" i="9" s="1"/>
  <c r="E80" i="9" s="1"/>
  <c r="G722" i="9"/>
  <c r="I411" i="7"/>
  <c r="M412" i="7"/>
  <c r="I183" i="7"/>
  <c r="M184" i="7"/>
  <c r="I429" i="7"/>
  <c r="I428" i="7" s="1"/>
  <c r="I427" i="7" s="1"/>
  <c r="I426" i="7" s="1"/>
  <c r="I425" i="7" s="1"/>
  <c r="M430" i="7"/>
  <c r="I591" i="7"/>
  <c r="M592" i="7"/>
  <c r="I601" i="7"/>
  <c r="I600" i="7" s="1"/>
  <c r="M602" i="7"/>
  <c r="I604" i="7"/>
  <c r="M605" i="7"/>
  <c r="I720" i="7"/>
  <c r="I719" i="7" s="1"/>
  <c r="I718" i="7" s="1"/>
  <c r="I717" i="7" s="1"/>
  <c r="I716" i="7" s="1"/>
  <c r="I715" i="7" s="1"/>
  <c r="I699" i="7" s="1"/>
  <c r="M721" i="7"/>
  <c r="F720" i="9"/>
  <c r="G720" i="9" s="1"/>
  <c r="G721" i="9"/>
  <c r="I615" i="7"/>
  <c r="M616" i="7"/>
  <c r="J209" i="7"/>
  <c r="K209" i="7" s="1"/>
  <c r="K210" i="7"/>
  <c r="H358" i="7"/>
  <c r="H357" i="7" s="1"/>
  <c r="H591" i="7"/>
  <c r="H590" i="7" s="1"/>
  <c r="I740" i="7"/>
  <c r="H801" i="7"/>
  <c r="H800" i="7" s="1"/>
  <c r="H668" i="7"/>
  <c r="H667" i="7" s="1"/>
  <c r="I543" i="7"/>
  <c r="I542" i="7" s="1"/>
  <c r="I541" i="7" s="1"/>
  <c r="I540" i="7" s="1"/>
  <c r="I539" i="7" s="1"/>
  <c r="H568" i="7"/>
  <c r="H567" i="7" s="1"/>
  <c r="H566" i="7" s="1"/>
  <c r="H300" i="7"/>
  <c r="H299" i="7" s="1"/>
  <c r="H298" i="7" s="1"/>
  <c r="H297" i="7" s="1"/>
  <c r="H523" i="7"/>
  <c r="H520" i="7" s="1"/>
  <c r="H519" i="7" s="1"/>
  <c r="H518" i="7" s="1"/>
  <c r="I758" i="7"/>
  <c r="H855" i="7"/>
  <c r="H854" i="7" s="1"/>
  <c r="H853" i="7" s="1"/>
  <c r="H852" i="7" s="1"/>
  <c r="E50" i="10" s="1"/>
  <c r="H619" i="7"/>
  <c r="H618" i="7" s="1"/>
  <c r="H617" i="7" s="1"/>
  <c r="I522" i="7"/>
  <c r="I799" i="7"/>
  <c r="H647" i="7"/>
  <c r="H646" i="7" s="1"/>
  <c r="H645" i="7" s="1"/>
  <c r="AF343" i="2"/>
  <c r="AF267" i="2"/>
  <c r="H796" i="7" l="1"/>
  <c r="I395" i="7"/>
  <c r="I614" i="7"/>
  <c r="M615" i="7"/>
  <c r="I590" i="7"/>
  <c r="M590" i="7" s="1"/>
  <c r="M591" i="7"/>
  <c r="I480" i="7"/>
  <c r="M481" i="7"/>
  <c r="I667" i="7"/>
  <c r="M668" i="7"/>
  <c r="I630" i="7"/>
  <c r="M631" i="7"/>
  <c r="I521" i="7"/>
  <c r="I520" i="7" s="1"/>
  <c r="I519" i="7" s="1"/>
  <c r="I518" i="7" s="1"/>
  <c r="I517" i="7" s="1"/>
  <c r="I510" i="7" s="1"/>
  <c r="M522" i="7"/>
  <c r="I182" i="7"/>
  <c r="M183" i="7"/>
  <c r="I567" i="7"/>
  <c r="M568" i="7"/>
  <c r="I739" i="7"/>
  <c r="M740" i="7"/>
  <c r="I757" i="7"/>
  <c r="M758" i="7"/>
  <c r="I603" i="7"/>
  <c r="M603" i="7" s="1"/>
  <c r="M604" i="7"/>
  <c r="I410" i="7"/>
  <c r="M411" i="7"/>
  <c r="I646" i="7"/>
  <c r="M647" i="7"/>
  <c r="I763" i="7"/>
  <c r="M763" i="7" s="1"/>
  <c r="M764" i="7"/>
  <c r="I798" i="7"/>
  <c r="M799" i="7"/>
  <c r="I880" i="7"/>
  <c r="M881" i="7"/>
  <c r="AG16" i="2"/>
  <c r="AG34" i="2"/>
  <c r="AG54" i="2"/>
  <c r="AG59" i="2"/>
  <c r="AG66" i="2"/>
  <c r="AG74" i="2"/>
  <c r="AG76" i="2"/>
  <c r="AG129" i="2"/>
  <c r="AG135" i="2"/>
  <c r="AG215" i="2"/>
  <c r="AG218" i="2"/>
  <c r="AG250" i="2"/>
  <c r="AG256" i="2"/>
  <c r="AG268" i="2"/>
  <c r="AG276" i="2"/>
  <c r="AG282" i="2"/>
  <c r="AG296" i="2"/>
  <c r="AG325" i="2"/>
  <c r="AG329" i="2"/>
  <c r="AG354" i="2"/>
  <c r="AG356" i="2"/>
  <c r="AG357" i="2"/>
  <c r="AG368" i="2"/>
  <c r="AG377" i="2"/>
  <c r="AG386" i="2"/>
  <c r="AG405" i="2"/>
  <c r="AG423" i="2"/>
  <c r="AG427" i="2"/>
  <c r="AG430" i="2"/>
  <c r="AG458" i="2"/>
  <c r="AG461" i="2"/>
  <c r="AG483" i="2"/>
  <c r="AG500" i="2"/>
  <c r="AG537" i="2"/>
  <c r="AG539" i="2"/>
  <c r="AG558" i="2"/>
  <c r="AG631" i="2"/>
  <c r="AG658" i="2"/>
  <c r="AG681" i="2"/>
  <c r="AG714" i="2"/>
  <c r="AG720" i="2"/>
  <c r="AG739" i="2"/>
  <c r="AG746" i="2"/>
  <c r="AG749" i="2"/>
  <c r="AG759" i="2"/>
  <c r="AG776" i="2"/>
  <c r="AG801" i="2"/>
  <c r="AG833" i="2"/>
  <c r="AG837" i="2"/>
  <c r="AG891" i="2"/>
  <c r="AG902" i="2"/>
  <c r="AG933" i="2"/>
  <c r="AG980" i="2"/>
  <c r="AG982" i="2"/>
  <c r="AG990" i="2"/>
  <c r="AG1020" i="2"/>
  <c r="M410" i="7" l="1"/>
  <c r="I406" i="7"/>
  <c r="I394" i="7" s="1"/>
  <c r="I393" i="7" s="1"/>
  <c r="I392" i="7" s="1"/>
  <c r="I629" i="7"/>
  <c r="M630" i="7"/>
  <c r="I797" i="7"/>
  <c r="M798" i="7"/>
  <c r="I875" i="7"/>
  <c r="M880" i="7"/>
  <c r="I756" i="7"/>
  <c r="M757" i="7"/>
  <c r="I656" i="7"/>
  <c r="M667" i="7"/>
  <c r="I738" i="7"/>
  <c r="M739" i="7"/>
  <c r="I479" i="7"/>
  <c r="M480" i="7"/>
  <c r="I566" i="7"/>
  <c r="M566" i="7" s="1"/>
  <c r="M567" i="7"/>
  <c r="I645" i="7"/>
  <c r="M646" i="7"/>
  <c r="I181" i="7"/>
  <c r="M182" i="7"/>
  <c r="I613" i="7"/>
  <c r="M613" i="7" s="1"/>
  <c r="M614" i="7"/>
  <c r="AE132" i="2"/>
  <c r="H208" i="7" s="1"/>
  <c r="E719" i="9" s="1"/>
  <c r="E718" i="9" s="1"/>
  <c r="E717" i="9" s="1"/>
  <c r="AE911" i="2"/>
  <c r="H418" i="7" s="1"/>
  <c r="E370" i="9" s="1"/>
  <c r="E369" i="9" s="1"/>
  <c r="E368" i="9" s="1"/>
  <c r="AE538" i="2"/>
  <c r="AF538" i="2"/>
  <c r="AD538" i="2"/>
  <c r="AE535" i="2"/>
  <c r="AE134" i="2"/>
  <c r="AE133" i="2" s="1"/>
  <c r="AF134" i="2"/>
  <c r="AD134" i="2"/>
  <c r="AD133" i="2" s="1"/>
  <c r="AB134" i="2"/>
  <c r="AB133" i="2" s="1"/>
  <c r="AD901" i="2"/>
  <c r="AD900" i="2" s="1"/>
  <c r="AF901" i="2"/>
  <c r="AE901" i="2"/>
  <c r="AE900" i="2" s="1"/>
  <c r="AF890" i="2"/>
  <c r="AD890" i="2"/>
  <c r="AD889" i="2" s="1"/>
  <c r="AE988" i="2"/>
  <c r="H530" i="7" s="1"/>
  <c r="E651" i="9" s="1"/>
  <c r="E650" i="9" s="1"/>
  <c r="E649" i="9" s="1"/>
  <c r="AE890" i="2"/>
  <c r="AE889" i="2" s="1"/>
  <c r="AE267" i="2"/>
  <c r="AG267" i="2" s="1"/>
  <c r="AE270" i="2"/>
  <c r="AE1048" i="2"/>
  <c r="AE1040" i="2"/>
  <c r="H116" i="7" s="1"/>
  <c r="AE1037" i="2"/>
  <c r="H113" i="7" s="1"/>
  <c r="AE1034" i="2"/>
  <c r="H110" i="7" s="1"/>
  <c r="AE1031" i="2"/>
  <c r="H107" i="7" s="1"/>
  <c r="AE1023" i="2"/>
  <c r="H843" i="7" s="1"/>
  <c r="AE1019" i="2"/>
  <c r="AE1018" i="2" s="1"/>
  <c r="AE1005" i="2"/>
  <c r="H547" i="7" s="1"/>
  <c r="E345" i="9" s="1"/>
  <c r="E344" i="9" s="1"/>
  <c r="E343" i="9" s="1"/>
  <c r="E342" i="9" s="1"/>
  <c r="E341" i="9" s="1"/>
  <c r="E340" i="9" s="1"/>
  <c r="AE996" i="2"/>
  <c r="H538" i="7" s="1"/>
  <c r="E659" i="9" s="1"/>
  <c r="E658" i="9" s="1"/>
  <c r="E657" i="9" s="1"/>
  <c r="AE993" i="2"/>
  <c r="H535" i="7" s="1"/>
  <c r="E656" i="9" s="1"/>
  <c r="E655" i="9" s="1"/>
  <c r="E654" i="9" s="1"/>
  <c r="AE989" i="2"/>
  <c r="AE981" i="2"/>
  <c r="AE979" i="2"/>
  <c r="AE974" i="2"/>
  <c r="H516" i="7" s="1"/>
  <c r="H509" i="7"/>
  <c r="E625" i="9" s="1"/>
  <c r="E624" i="9" s="1"/>
  <c r="E623" i="9" s="1"/>
  <c r="AE964" i="2"/>
  <c r="H503" i="7" s="1"/>
  <c r="AE961" i="2"/>
  <c r="H500" i="7" s="1"/>
  <c r="AE958" i="2"/>
  <c r="AE955" i="2"/>
  <c r="AE952" i="2"/>
  <c r="AE943" i="2"/>
  <c r="AG939" i="2"/>
  <c r="AE936" i="2"/>
  <c r="AE932" i="2"/>
  <c r="AE931" i="2" s="1"/>
  <c r="AE930" i="2"/>
  <c r="H467" i="7" s="1"/>
  <c r="AE924" i="2"/>
  <c r="H461" i="7" s="1"/>
  <c r="AE908" i="2"/>
  <c r="AE905" i="2"/>
  <c r="H412" i="7" s="1"/>
  <c r="AE898" i="2"/>
  <c r="H405" i="7" s="1"/>
  <c r="AE894" i="2"/>
  <c r="H401" i="7" s="1"/>
  <c r="AE884" i="2"/>
  <c r="AE878" i="2"/>
  <c r="AE870" i="2"/>
  <c r="AE866" i="2"/>
  <c r="AG866" i="2" s="1"/>
  <c r="AE860" i="2"/>
  <c r="AE857" i="2"/>
  <c r="AE854" i="2"/>
  <c r="AE847" i="2"/>
  <c r="AG847" i="2" s="1"/>
  <c r="AE845" i="2"/>
  <c r="AE844" i="2" s="1"/>
  <c r="AE836" i="2"/>
  <c r="AE835" i="2" s="1"/>
  <c r="AE834" i="2" s="1"/>
  <c r="AE832" i="2"/>
  <c r="AE831" i="2" s="1"/>
  <c r="AE829" i="2"/>
  <c r="AE820" i="2"/>
  <c r="H834" i="7" s="1"/>
  <c r="E126" i="9" s="1"/>
  <c r="E125" i="9" s="1"/>
  <c r="AE818" i="2"/>
  <c r="H832" i="7" s="1"/>
  <c r="E124" i="9" s="1"/>
  <c r="E123" i="9" s="1"/>
  <c r="AE816" i="2"/>
  <c r="H830" i="7" s="1"/>
  <c r="E122" i="9" s="1"/>
  <c r="E121" i="9" s="1"/>
  <c r="AG809" i="2"/>
  <c r="AE800" i="2"/>
  <c r="AE799" i="2" s="1"/>
  <c r="AE798" i="2" s="1"/>
  <c r="AE797" i="2" s="1"/>
  <c r="AE796" i="2" s="1"/>
  <c r="AE795" i="2" s="1"/>
  <c r="AE794" i="2" s="1"/>
  <c r="AE793" i="2" s="1"/>
  <c r="AE792" i="2"/>
  <c r="AE789" i="2"/>
  <c r="H725" i="7" s="1"/>
  <c r="E212" i="9" s="1"/>
  <c r="E211" i="9" s="1"/>
  <c r="AE782" i="2"/>
  <c r="H714" i="7" s="1"/>
  <c r="AE779" i="2"/>
  <c r="H711" i="7" s="1"/>
  <c r="AE775" i="2"/>
  <c r="AE774" i="2"/>
  <c r="AE766" i="2"/>
  <c r="AE758" i="2"/>
  <c r="AE757" i="2" s="1"/>
  <c r="AE756" i="2" s="1"/>
  <c r="AE755" i="2" s="1"/>
  <c r="AE754" i="2" s="1"/>
  <c r="AE753" i="2"/>
  <c r="H673" i="7" s="1"/>
  <c r="AE748" i="2"/>
  <c r="AE747" i="2" s="1"/>
  <c r="AE745" i="2"/>
  <c r="AE744" i="2" s="1"/>
  <c r="AE743" i="2"/>
  <c r="H663" i="7" s="1"/>
  <c r="E172" i="9" s="1"/>
  <c r="AE738" i="2"/>
  <c r="AE737" i="2" s="1"/>
  <c r="AE734" i="2"/>
  <c r="H654" i="7" s="1"/>
  <c r="AE727" i="2"/>
  <c r="H633" i="7" s="1"/>
  <c r="AE719" i="2"/>
  <c r="AE718" i="2" s="1"/>
  <c r="AE717" i="2" s="1"/>
  <c r="AE716" i="2" s="1"/>
  <c r="AE715" i="2" s="1"/>
  <c r="AE713" i="2"/>
  <c r="AE712" i="2" s="1"/>
  <c r="AE711" i="2" s="1"/>
  <c r="AE710" i="2"/>
  <c r="H616" i="7" s="1"/>
  <c r="AE706" i="2"/>
  <c r="H612" i="7" s="1"/>
  <c r="E155" i="9" s="1"/>
  <c r="E154" i="9" s="1"/>
  <c r="E153" i="9" s="1"/>
  <c r="AE703" i="2"/>
  <c r="AE698" i="2"/>
  <c r="H609" i="7" s="1"/>
  <c r="AE694" i="2"/>
  <c r="H605" i="7" s="1"/>
  <c r="AE691" i="2"/>
  <c r="H602" i="7" s="1"/>
  <c r="E142" i="9" s="1"/>
  <c r="E141" i="9" s="1"/>
  <c r="E140" i="9" s="1"/>
  <c r="AE688" i="2"/>
  <c r="H599" i="7" s="1"/>
  <c r="AE684" i="2"/>
  <c r="H595" i="7" s="1"/>
  <c r="E135" i="9" s="1"/>
  <c r="E134" i="9" s="1"/>
  <c r="E133" i="9" s="1"/>
  <c r="AE680" i="2"/>
  <c r="AE679" i="2" s="1"/>
  <c r="AE678" i="2"/>
  <c r="AE675" i="2"/>
  <c r="H586" i="7" s="1"/>
  <c r="AE672" i="2"/>
  <c r="H583" i="7" s="1"/>
  <c r="E116" i="9" s="1"/>
  <c r="E115" i="9" s="1"/>
  <c r="E114" i="9" s="1"/>
  <c r="AE669" i="2"/>
  <c r="AE665" i="2"/>
  <c r="AE657" i="2"/>
  <c r="AE656" i="2" s="1"/>
  <c r="AE655" i="2" s="1"/>
  <c r="AE654" i="2"/>
  <c r="AE651" i="2"/>
  <c r="AE646" i="2"/>
  <c r="H562" i="7" s="1"/>
  <c r="AE643" i="2"/>
  <c r="H559" i="7" s="1"/>
  <c r="E109" i="9" s="1"/>
  <c r="E108" i="9" s="1"/>
  <c r="E107" i="9" s="1"/>
  <c r="E106" i="9" s="1"/>
  <c r="AE639" i="2"/>
  <c r="H555" i="7" s="1"/>
  <c r="AE630" i="2"/>
  <c r="AE629" i="2" s="1"/>
  <c r="AE628" i="2" s="1"/>
  <c r="AE627" i="2" s="1"/>
  <c r="AE626" i="2" s="1"/>
  <c r="AE625" i="2" s="1"/>
  <c r="AE624" i="2" s="1"/>
  <c r="AE622" i="2"/>
  <c r="H851" i="7" s="1"/>
  <c r="E338" i="9" s="1"/>
  <c r="E337" i="9" s="1"/>
  <c r="E336" i="9" s="1"/>
  <c r="AE619" i="2"/>
  <c r="H848" i="7" s="1"/>
  <c r="E335" i="9" s="1"/>
  <c r="E334" i="9" s="1"/>
  <c r="E333" i="9" s="1"/>
  <c r="AE612" i="2"/>
  <c r="AE604" i="2"/>
  <c r="AE596" i="2"/>
  <c r="H198" i="7" s="1"/>
  <c r="AE592" i="2"/>
  <c r="AE589" i="2"/>
  <c r="H146" i="7" s="1"/>
  <c r="AE586" i="2"/>
  <c r="AE581" i="2"/>
  <c r="H138" i="7" s="1"/>
  <c r="AE579" i="2"/>
  <c r="H136" i="7" s="1"/>
  <c r="AE575" i="2"/>
  <c r="H128" i="7" s="1"/>
  <c r="AE566" i="2"/>
  <c r="AE557" i="2"/>
  <c r="AE556" i="2" s="1"/>
  <c r="AE555" i="2" s="1"/>
  <c r="AE554" i="2" s="1"/>
  <c r="AE553" i="2" s="1"/>
  <c r="AE552" i="2" s="1"/>
  <c r="AE551" i="2" s="1"/>
  <c r="AE550" i="2" s="1"/>
  <c r="AE549" i="2"/>
  <c r="H102" i="7" s="1"/>
  <c r="AE545" i="2"/>
  <c r="H98" i="7" s="1"/>
  <c r="AE542" i="2"/>
  <c r="H95" i="7" s="1"/>
  <c r="AE536" i="2"/>
  <c r="AE534" i="2"/>
  <c r="AE533" i="2" s="1"/>
  <c r="AE525" i="2"/>
  <c r="AE517" i="2"/>
  <c r="AE514" i="2"/>
  <c r="AE511" i="2"/>
  <c r="H36" i="7" s="1"/>
  <c r="AE507" i="2"/>
  <c r="H32" i="7" s="1"/>
  <c r="E673" i="9" s="1"/>
  <c r="E672" i="9" s="1"/>
  <c r="E671" i="9" s="1"/>
  <c r="AE504" i="2"/>
  <c r="H29" i="7" s="1"/>
  <c r="AE499" i="2"/>
  <c r="AE498" i="2" s="1"/>
  <c r="AE497" i="2" s="1"/>
  <c r="AE496" i="2" s="1"/>
  <c r="AE495" i="2" s="1"/>
  <c r="AE491" i="2"/>
  <c r="H891" i="7" s="1"/>
  <c r="AE482" i="2"/>
  <c r="AE481" i="2" s="1"/>
  <c r="AE480" i="2" s="1"/>
  <c r="AE479" i="2"/>
  <c r="H879" i="7" s="1"/>
  <c r="AE472" i="2"/>
  <c r="AE471" i="2"/>
  <c r="AE469" i="2"/>
  <c r="AE460" i="2"/>
  <c r="AE459" i="2" s="1"/>
  <c r="AE457" i="2"/>
  <c r="AE456" i="2" s="1"/>
  <c r="AE451" i="2"/>
  <c r="H823" i="7" s="1"/>
  <c r="AE446" i="2"/>
  <c r="AE438" i="2"/>
  <c r="AE429" i="2"/>
  <c r="AE428" i="2" s="1"/>
  <c r="AE426" i="2"/>
  <c r="AE425" i="2" s="1"/>
  <c r="AE422" i="2"/>
  <c r="AE421" i="2" s="1"/>
  <c r="AE420" i="2" s="1"/>
  <c r="AE419" i="2"/>
  <c r="AE416" i="2"/>
  <c r="H788" i="7" s="1"/>
  <c r="AE412" i="2"/>
  <c r="H784" i="7" s="1"/>
  <c r="AE409" i="2"/>
  <c r="H781" i="7" s="1"/>
  <c r="AE404" i="2"/>
  <c r="AE403" i="2" s="1"/>
  <c r="AE402" i="2"/>
  <c r="H774" i="7" s="1"/>
  <c r="AE400" i="2"/>
  <c r="H772" i="7" s="1"/>
  <c r="AE394" i="2"/>
  <c r="AE390" i="2"/>
  <c r="AE385" i="2"/>
  <c r="AE384" i="2" s="1"/>
  <c r="AE383" i="2"/>
  <c r="AE380" i="2"/>
  <c r="AE376" i="2"/>
  <c r="AE375" i="2" s="1"/>
  <c r="AE372" i="2"/>
  <c r="AG372" i="2" s="1"/>
  <c r="AE367" i="2"/>
  <c r="AE366" i="2" s="1"/>
  <c r="AE365" i="2"/>
  <c r="AE355" i="2"/>
  <c r="AE353" i="2"/>
  <c r="AE352" i="2"/>
  <c r="H721" i="7" s="1"/>
  <c r="AE344" i="2"/>
  <c r="H694" i="7" s="1"/>
  <c r="AE342" i="2"/>
  <c r="H692" i="7" s="1"/>
  <c r="AE336" i="2"/>
  <c r="H686" i="7" s="1"/>
  <c r="AE328" i="2"/>
  <c r="AE327" i="2" s="1"/>
  <c r="AE326" i="2" s="1"/>
  <c r="AE324" i="2"/>
  <c r="AE323" i="2" s="1"/>
  <c r="AE322" i="2" s="1"/>
  <c r="AE321" i="2"/>
  <c r="AE313" i="2"/>
  <c r="H506" i="7" s="1"/>
  <c r="AE308" i="2"/>
  <c r="H469" i="7" s="1"/>
  <c r="AE302" i="2"/>
  <c r="AE295" i="2"/>
  <c r="AE294" i="2"/>
  <c r="AE292" i="2"/>
  <c r="H445" i="7" s="1"/>
  <c r="AE289" i="2"/>
  <c r="H442" i="7" s="1"/>
  <c r="E274" i="9" s="1"/>
  <c r="E273" i="9" s="1"/>
  <c r="E272" i="9" s="1"/>
  <c r="AE281" i="2"/>
  <c r="AE280" i="2" s="1"/>
  <c r="AE279" i="2" s="1"/>
  <c r="AE278" i="2" s="1"/>
  <c r="AE277" i="2" s="1"/>
  <c r="AE275" i="2"/>
  <c r="AE264" i="2"/>
  <c r="AE255" i="2"/>
  <c r="AE254" i="2" s="1"/>
  <c r="AE253" i="2" s="1"/>
  <c r="AE252" i="2" s="1"/>
  <c r="AE251" i="2" s="1"/>
  <c r="AE249" i="2"/>
  <c r="AE248" i="2" s="1"/>
  <c r="AE247" i="2"/>
  <c r="AE240" i="2"/>
  <c r="AG240" i="2" s="1"/>
  <c r="AE236" i="2"/>
  <c r="AE232" i="2"/>
  <c r="AE225" i="2"/>
  <c r="AE217" i="2"/>
  <c r="AE216" i="2" s="1"/>
  <c r="AE214" i="2"/>
  <c r="AE213" i="2" s="1"/>
  <c r="AE208" i="2"/>
  <c r="AE199" i="2"/>
  <c r="AE192" i="2"/>
  <c r="AE190" i="2"/>
  <c r="AG190" i="2" s="1"/>
  <c r="AE185" i="2"/>
  <c r="AE180" i="2"/>
  <c r="AE178" i="2"/>
  <c r="AE173" i="2"/>
  <c r="AE162" i="2"/>
  <c r="H241" i="7" s="1"/>
  <c r="AE150" i="2"/>
  <c r="H229" i="7" s="1"/>
  <c r="AE143" i="2"/>
  <c r="AE131" i="2"/>
  <c r="AE130" i="2" s="1"/>
  <c r="AE128" i="2"/>
  <c r="AE127" i="2" s="1"/>
  <c r="AE126" i="2"/>
  <c r="H202" i="7" s="1"/>
  <c r="AG122" i="2"/>
  <c r="AE118" i="2"/>
  <c r="H194" i="7" s="1"/>
  <c r="AE113" i="2"/>
  <c r="AE109" i="2"/>
  <c r="AE103" i="2"/>
  <c r="AE97" i="2"/>
  <c r="H173" i="7" s="1"/>
  <c r="AE95" i="2"/>
  <c r="H171" i="7" s="1"/>
  <c r="AE92" i="2"/>
  <c r="AE90" i="2"/>
  <c r="H166" i="7" s="1"/>
  <c r="AE86" i="2"/>
  <c r="AE84" i="2"/>
  <c r="AE81" i="2"/>
  <c r="H154" i="7" s="1"/>
  <c r="AE75" i="2"/>
  <c r="AE73" i="2"/>
  <c r="AE70" i="2"/>
  <c r="H132" i="7" s="1"/>
  <c r="AE68" i="2"/>
  <c r="H130" i="7" s="1"/>
  <c r="AE65" i="2"/>
  <c r="AE58" i="2"/>
  <c r="AE57" i="2" s="1"/>
  <c r="AE56" i="2" s="1"/>
  <c r="AE55" i="2" s="1"/>
  <c r="AE53" i="2"/>
  <c r="AE52" i="2" s="1"/>
  <c r="AE51" i="2" s="1"/>
  <c r="AE50" i="2"/>
  <c r="H76" i="7" s="1"/>
  <c r="AE44" i="2"/>
  <c r="H70" i="7" s="1"/>
  <c r="AE40" i="2"/>
  <c r="AE37" i="2"/>
  <c r="AG37" i="2" s="1"/>
  <c r="AE33" i="2"/>
  <c r="AE32" i="2"/>
  <c r="H58" i="7" s="1"/>
  <c r="AE25" i="2"/>
  <c r="AE23" i="2"/>
  <c r="H49" i="7" s="1"/>
  <c r="AE15" i="2"/>
  <c r="AE14" i="2" s="1"/>
  <c r="AE13" i="2" s="1"/>
  <c r="AE12" i="2" s="1"/>
  <c r="AE11" i="2" s="1"/>
  <c r="AE10" i="2" s="1"/>
  <c r="AG908" i="2" l="1"/>
  <c r="H415" i="7"/>
  <c r="AG25" i="2"/>
  <c r="H51" i="7"/>
  <c r="AG84" i="2"/>
  <c r="H157" i="7"/>
  <c r="AG40" i="2"/>
  <c r="H66" i="7"/>
  <c r="AG143" i="2"/>
  <c r="H222" i="7"/>
  <c r="AG936" i="2"/>
  <c r="H475" i="7"/>
  <c r="AG86" i="2"/>
  <c r="H159" i="7"/>
  <c r="AG92" i="2"/>
  <c r="H168" i="7"/>
  <c r="H228" i="7"/>
  <c r="H227" i="7" s="1"/>
  <c r="H226" i="7" s="1"/>
  <c r="H225" i="7" s="1"/>
  <c r="H224" i="7" s="1"/>
  <c r="H223" i="7" s="1"/>
  <c r="E18" i="10" s="1"/>
  <c r="E447" i="9"/>
  <c r="E446" i="9" s="1"/>
  <c r="E445" i="9" s="1"/>
  <c r="AG294" i="2"/>
  <c r="H447" i="7"/>
  <c r="AG586" i="2"/>
  <c r="H143" i="7"/>
  <c r="AG943" i="2"/>
  <c r="H482" i="7"/>
  <c r="AG302" i="2"/>
  <c r="H455" i="7"/>
  <c r="AG469" i="2"/>
  <c r="H869" i="7"/>
  <c r="AG952" i="2"/>
  <c r="H491" i="7"/>
  <c r="AG103" i="2"/>
  <c r="H179" i="7"/>
  <c r="AE590" i="2"/>
  <c r="H149" i="7"/>
  <c r="AG955" i="2"/>
  <c r="H494" i="7"/>
  <c r="AG109" i="2"/>
  <c r="H185" i="7"/>
  <c r="H505" i="7"/>
  <c r="H504" i="7" s="1"/>
  <c r="E617" i="9"/>
  <c r="E616" i="9" s="1"/>
  <c r="E615" i="9" s="1"/>
  <c r="AG472" i="2"/>
  <c r="H872" i="7"/>
  <c r="AG958" i="2"/>
  <c r="H497" i="7"/>
  <c r="H48" i="7"/>
  <c r="E221" i="9"/>
  <c r="I49" i="7"/>
  <c r="AG113" i="2"/>
  <c r="H189" i="7"/>
  <c r="AG419" i="2"/>
  <c r="H791" i="7"/>
  <c r="AG604" i="2"/>
  <c r="H424" i="7"/>
  <c r="AG535" i="2"/>
  <c r="H88" i="7"/>
  <c r="E434" i="9" s="1"/>
  <c r="E433" i="9" s="1"/>
  <c r="E432" i="9" s="1"/>
  <c r="AG905" i="2"/>
  <c r="E120" i="9"/>
  <c r="E332" i="9"/>
  <c r="E331" i="9" s="1"/>
  <c r="E119" i="9"/>
  <c r="E118" i="9" s="1"/>
  <c r="E117" i="9" s="1"/>
  <c r="H710" i="7"/>
  <c r="H709" i="7" s="1"/>
  <c r="E193" i="9"/>
  <c r="E192" i="9" s="1"/>
  <c r="E191" i="9" s="1"/>
  <c r="H685" i="7"/>
  <c r="H684" i="7" s="1"/>
  <c r="H683" i="7" s="1"/>
  <c r="H682" i="7" s="1"/>
  <c r="H681" i="7" s="1"/>
  <c r="E263" i="9"/>
  <c r="E262" i="9" s="1"/>
  <c r="E261" i="9" s="1"/>
  <c r="E260" i="9" s="1"/>
  <c r="H632" i="7"/>
  <c r="H631" i="7" s="1"/>
  <c r="H630" i="7" s="1"/>
  <c r="H629" i="7" s="1"/>
  <c r="H628" i="7" s="1"/>
  <c r="H627" i="7" s="1"/>
  <c r="E492" i="9"/>
  <c r="E491" i="9" s="1"/>
  <c r="E490" i="9" s="1"/>
  <c r="E489" i="9" s="1"/>
  <c r="E488" i="9" s="1"/>
  <c r="E487" i="9" s="1"/>
  <c r="H713" i="7"/>
  <c r="H712" i="7" s="1"/>
  <c r="E196" i="9"/>
  <c r="E195" i="9" s="1"/>
  <c r="E194" i="9" s="1"/>
  <c r="I655" i="7"/>
  <c r="M655" i="7" s="1"/>
  <c r="M656" i="7"/>
  <c r="H691" i="7"/>
  <c r="H690" i="7" s="1"/>
  <c r="H689" i="7" s="1"/>
  <c r="E497" i="9"/>
  <c r="E496" i="9" s="1"/>
  <c r="H28" i="7"/>
  <c r="H27" i="7" s="1"/>
  <c r="E670" i="9"/>
  <c r="E669" i="9" s="1"/>
  <c r="E668" i="9" s="1"/>
  <c r="H693" i="7"/>
  <c r="E499" i="9"/>
  <c r="E498" i="9" s="1"/>
  <c r="I180" i="7"/>
  <c r="M181" i="7"/>
  <c r="I746" i="7"/>
  <c r="I745" i="7" s="1"/>
  <c r="M756" i="7"/>
  <c r="H720" i="7"/>
  <c r="E208" i="9"/>
  <c r="E207" i="9" s="1"/>
  <c r="E206" i="9" s="1"/>
  <c r="H35" i="7"/>
  <c r="H34" i="7" s="1"/>
  <c r="E677" i="9"/>
  <c r="E676" i="9" s="1"/>
  <c r="E675" i="9" s="1"/>
  <c r="E171" i="9"/>
  <c r="E170" i="9"/>
  <c r="E169" i="9" s="1"/>
  <c r="E165" i="9" s="1"/>
  <c r="I636" i="7"/>
  <c r="I635" i="7" s="1"/>
  <c r="M645" i="7"/>
  <c r="I874" i="7"/>
  <c r="M875" i="7"/>
  <c r="H604" i="7"/>
  <c r="H603" i="7" s="1"/>
  <c r="E145" i="9"/>
  <c r="E144" i="9" s="1"/>
  <c r="E143" i="9" s="1"/>
  <c r="H608" i="7"/>
  <c r="H607" i="7" s="1"/>
  <c r="E152" i="9"/>
  <c r="E151" i="9" s="1"/>
  <c r="E150" i="9" s="1"/>
  <c r="E149" i="9" s="1"/>
  <c r="H672" i="7"/>
  <c r="H671" i="7" s="1"/>
  <c r="H670" i="7" s="1"/>
  <c r="E182" i="9"/>
  <c r="E181" i="9" s="1"/>
  <c r="E180" i="9" s="1"/>
  <c r="E179" i="9" s="1"/>
  <c r="E648" i="9"/>
  <c r="E647" i="9" s="1"/>
  <c r="E646" i="9" s="1"/>
  <c r="I796" i="7"/>
  <c r="I767" i="7" s="1"/>
  <c r="M797" i="7"/>
  <c r="I463" i="7"/>
  <c r="I462" i="7" s="1"/>
  <c r="I436" i="7" s="1"/>
  <c r="I366" i="7" s="1"/>
  <c r="M479" i="7"/>
  <c r="I628" i="7"/>
  <c r="M629" i="7"/>
  <c r="H57" i="7"/>
  <c r="H56" i="7" s="1"/>
  <c r="E422" i="9"/>
  <c r="E421" i="9" s="1"/>
  <c r="E420" i="9" s="1"/>
  <c r="H615" i="7"/>
  <c r="H614" i="7" s="1"/>
  <c r="H613" i="7" s="1"/>
  <c r="E159" i="9"/>
  <c r="E158" i="9" s="1"/>
  <c r="E157" i="9" s="1"/>
  <c r="E156" i="9" s="1"/>
  <c r="H842" i="7"/>
  <c r="H841" i="7" s="1"/>
  <c r="H837" i="7" s="1"/>
  <c r="H836" i="7" s="1"/>
  <c r="E330" i="9"/>
  <c r="E329" i="9" s="1"/>
  <c r="E328" i="9" s="1"/>
  <c r="E324" i="9" s="1"/>
  <c r="E323" i="9" s="1"/>
  <c r="E322" i="9" s="1"/>
  <c r="I734" i="7"/>
  <c r="M738" i="7"/>
  <c r="H724" i="7"/>
  <c r="K725" i="7"/>
  <c r="AG446" i="2"/>
  <c r="H818" i="7"/>
  <c r="E202" i="9" s="1"/>
  <c r="E201" i="9" s="1"/>
  <c r="E200" i="9" s="1"/>
  <c r="E199" i="9" s="1"/>
  <c r="E198" i="9" s="1"/>
  <c r="AG792" i="2"/>
  <c r="H729" i="7"/>
  <c r="H662" i="7"/>
  <c r="H661" i="7"/>
  <c r="H660" i="7" s="1"/>
  <c r="H656" i="7" s="1"/>
  <c r="I830" i="7"/>
  <c r="I829" i="7" s="1"/>
  <c r="H829" i="7"/>
  <c r="AG270" i="2"/>
  <c r="H385" i="7"/>
  <c r="E641" i="9" s="1"/>
  <c r="E640" i="9" s="1"/>
  <c r="E637" i="9" s="1"/>
  <c r="E636" i="9" s="1"/>
  <c r="AG654" i="2"/>
  <c r="H565" i="7"/>
  <c r="H831" i="7"/>
  <c r="I832" i="7"/>
  <c r="I831" i="7" s="1"/>
  <c r="I834" i="7"/>
  <c r="I833" i="7" s="1"/>
  <c r="H833" i="7"/>
  <c r="AG665" i="2"/>
  <c r="H576" i="7"/>
  <c r="I612" i="7"/>
  <c r="I611" i="7" s="1"/>
  <c r="I610" i="7" s="1"/>
  <c r="I606" i="7" s="1"/>
  <c r="H611" i="7"/>
  <c r="H610" i="7" s="1"/>
  <c r="AG766" i="2"/>
  <c r="H698" i="7"/>
  <c r="AG321" i="2"/>
  <c r="H640" i="7"/>
  <c r="AG669" i="2"/>
  <c r="H580" i="7"/>
  <c r="E113" i="9" s="1"/>
  <c r="E112" i="9" s="1"/>
  <c r="E111" i="9" s="1"/>
  <c r="E110" i="9" s="1"/>
  <c r="AG774" i="2"/>
  <c r="H706" i="7"/>
  <c r="I848" i="7"/>
  <c r="I847" i="7" s="1"/>
  <c r="I846" i="7" s="1"/>
  <c r="H847" i="7"/>
  <c r="H846" i="7" s="1"/>
  <c r="I851" i="7"/>
  <c r="I850" i="7" s="1"/>
  <c r="I849" i="7" s="1"/>
  <c r="H850" i="7"/>
  <c r="H849" i="7" s="1"/>
  <c r="AG678" i="2"/>
  <c r="H589" i="7"/>
  <c r="E129" i="9" s="1"/>
  <c r="E128" i="9" s="1"/>
  <c r="E127" i="9" s="1"/>
  <c r="I654" i="7"/>
  <c r="I653" i="7" s="1"/>
  <c r="I652" i="7" s="1"/>
  <c r="I651" i="7" s="1"/>
  <c r="I650" i="7" s="1"/>
  <c r="H653" i="7"/>
  <c r="H652" i="7" s="1"/>
  <c r="H651" i="7" s="1"/>
  <c r="H650" i="7" s="1"/>
  <c r="AE445" i="2"/>
  <c r="AE444" i="2" s="1"/>
  <c r="AE443" i="2" s="1"/>
  <c r="H31" i="7"/>
  <c r="H30" i="7"/>
  <c r="AG514" i="2"/>
  <c r="H39" i="7"/>
  <c r="AG517" i="2"/>
  <c r="H42" i="7"/>
  <c r="AG753" i="2"/>
  <c r="AE752" i="2"/>
  <c r="AE85" i="2"/>
  <c r="AE865" i="2"/>
  <c r="AE864" i="2" s="1"/>
  <c r="AE863" i="2" s="1"/>
  <c r="AE121" i="2"/>
  <c r="AE120" i="2" s="1"/>
  <c r="AE269" i="2"/>
  <c r="AE266" i="2" s="1"/>
  <c r="AG134" i="2"/>
  <c r="AE668" i="2"/>
  <c r="AE667" i="2" s="1"/>
  <c r="AE189" i="2"/>
  <c r="AE91" i="2"/>
  <c r="AE907" i="2"/>
  <c r="AE906" i="2" s="1"/>
  <c r="AE935" i="2"/>
  <c r="AE934" i="2" s="1"/>
  <c r="AG185" i="2"/>
  <c r="AE183" i="2"/>
  <c r="AG183" i="2" s="1"/>
  <c r="AE942" i="2"/>
  <c r="AE941" i="2" s="1"/>
  <c r="AE940" i="2" s="1"/>
  <c r="AE653" i="2"/>
  <c r="AE652" i="2" s="1"/>
  <c r="AE418" i="2"/>
  <c r="AE417" i="2" s="1"/>
  <c r="AE830" i="2"/>
  <c r="AE108" i="2"/>
  <c r="AE107" i="2" s="1"/>
  <c r="AE106" i="2" s="1"/>
  <c r="AE664" i="2"/>
  <c r="AE663" i="2" s="1"/>
  <c r="AE938" i="2"/>
  <c r="AE937" i="2" s="1"/>
  <c r="AE39" i="2"/>
  <c r="AE38" i="2" s="1"/>
  <c r="AE791" i="2"/>
  <c r="AE790" i="2" s="1"/>
  <c r="AE978" i="2"/>
  <c r="AE977" i="2" s="1"/>
  <c r="AE976" i="2" s="1"/>
  <c r="AE320" i="2"/>
  <c r="AE319" i="2" s="1"/>
  <c r="AE318" i="2" s="1"/>
  <c r="AE317" i="2" s="1"/>
  <c r="AE316" i="2" s="1"/>
  <c r="AE315" i="2" s="1"/>
  <c r="AE677" i="2"/>
  <c r="AE676" i="2" s="1"/>
  <c r="AE516" i="2"/>
  <c r="AE515" i="2" s="1"/>
  <c r="AE808" i="2"/>
  <c r="AE807" i="2" s="1"/>
  <c r="AE806" i="2" s="1"/>
  <c r="AE805" i="2" s="1"/>
  <c r="AE804" i="2" s="1"/>
  <c r="AE803" i="2" s="1"/>
  <c r="AE954" i="2"/>
  <c r="AE953" i="2" s="1"/>
  <c r="AE83" i="2"/>
  <c r="AG538" i="2"/>
  <c r="AE239" i="2"/>
  <c r="AE238" i="2" s="1"/>
  <c r="AE237" i="2" s="1"/>
  <c r="AE49" i="2"/>
  <c r="AE48" i="2" s="1"/>
  <c r="AE47" i="2" s="1"/>
  <c r="AE46" i="2" s="1"/>
  <c r="AE45" i="2" s="1"/>
  <c r="AG50" i="2"/>
  <c r="AE117" i="2"/>
  <c r="AE116" i="2" s="1"/>
  <c r="AE115" i="2" s="1"/>
  <c r="AE114" i="2" s="1"/>
  <c r="AG118" i="2"/>
  <c r="AE172" i="2"/>
  <c r="AE171" i="2" s="1"/>
  <c r="AE170" i="2" s="1"/>
  <c r="AG173" i="2"/>
  <c r="AE371" i="2"/>
  <c r="AE370" i="2" s="1"/>
  <c r="AE369" i="2" s="1"/>
  <c r="AE408" i="2"/>
  <c r="AE407" i="2" s="1"/>
  <c r="AG409" i="2"/>
  <c r="AE510" i="2"/>
  <c r="AE509" i="2" s="1"/>
  <c r="AG511" i="2"/>
  <c r="AE565" i="2"/>
  <c r="AE564" i="2" s="1"/>
  <c r="AE563" i="2" s="1"/>
  <c r="AE562" i="2" s="1"/>
  <c r="AE561" i="2" s="1"/>
  <c r="AE560" i="2" s="1"/>
  <c r="AE559" i="2" s="1"/>
  <c r="AG566" i="2"/>
  <c r="AE611" i="2"/>
  <c r="AE610" i="2" s="1"/>
  <c r="AE609" i="2" s="1"/>
  <c r="AE608" i="2" s="1"/>
  <c r="AE607" i="2" s="1"/>
  <c r="AE606" i="2" s="1"/>
  <c r="AG612" i="2"/>
  <c r="AE693" i="2"/>
  <c r="AE692" i="2" s="1"/>
  <c r="AG694" i="2"/>
  <c r="AE817" i="2"/>
  <c r="AG818" i="2"/>
  <c r="AE923" i="2"/>
  <c r="AE922" i="2" s="1"/>
  <c r="AE921" i="2" s="1"/>
  <c r="AE920" i="2" s="1"/>
  <c r="AE919" i="2" s="1"/>
  <c r="AG924" i="2"/>
  <c r="AE951" i="2"/>
  <c r="AE950" i="2" s="1"/>
  <c r="AE1047" i="2"/>
  <c r="AE1046" i="2" s="1"/>
  <c r="AE1045" i="2" s="1"/>
  <c r="AE1044" i="2" s="1"/>
  <c r="AE1043" i="2" s="1"/>
  <c r="AE1042" i="2" s="1"/>
  <c r="AE1041" i="2" s="1"/>
  <c r="AG1048" i="2"/>
  <c r="AE177" i="2"/>
  <c r="AG178" i="2"/>
  <c r="AE224" i="2"/>
  <c r="AE223" i="2" s="1"/>
  <c r="AE222" i="2" s="1"/>
  <c r="AE221" i="2" s="1"/>
  <c r="AE220" i="2" s="1"/>
  <c r="AE219" i="2" s="1"/>
  <c r="AG225" i="2"/>
  <c r="AE411" i="2"/>
  <c r="AE410" i="2" s="1"/>
  <c r="AG412" i="2"/>
  <c r="AE513" i="2"/>
  <c r="AE512" i="2" s="1"/>
  <c r="AE574" i="2"/>
  <c r="AE573" i="2" s="1"/>
  <c r="AE572" i="2" s="1"/>
  <c r="AG575" i="2"/>
  <c r="AE618" i="2"/>
  <c r="AE617" i="2" s="1"/>
  <c r="AG619" i="2"/>
  <c r="AE697" i="2"/>
  <c r="AE696" i="2" s="1"/>
  <c r="AG698" i="2"/>
  <c r="AE778" i="2"/>
  <c r="AE777" i="2" s="1"/>
  <c r="AG779" i="2"/>
  <c r="AE819" i="2"/>
  <c r="AG820" i="2"/>
  <c r="AE869" i="2"/>
  <c r="AE868" i="2" s="1"/>
  <c r="AE867" i="2" s="1"/>
  <c r="AG870" i="2"/>
  <c r="AE929" i="2"/>
  <c r="AE928" i="2" s="1"/>
  <c r="AG930" i="2"/>
  <c r="AE992" i="2"/>
  <c r="AE991" i="2" s="1"/>
  <c r="AG993" i="2"/>
  <c r="AE231" i="2"/>
  <c r="AE230" i="2" s="1"/>
  <c r="AE229" i="2" s="1"/>
  <c r="AG232" i="2"/>
  <c r="AE288" i="2"/>
  <c r="AE287" i="2" s="1"/>
  <c r="AG289" i="2"/>
  <c r="AE415" i="2"/>
  <c r="AE414" i="2" s="1"/>
  <c r="AE413" i="2" s="1"/>
  <c r="AG416" i="2"/>
  <c r="AE468" i="2"/>
  <c r="AE578" i="2"/>
  <c r="AG579" i="2"/>
  <c r="AE621" i="2"/>
  <c r="AE620" i="2" s="1"/>
  <c r="AG622" i="2"/>
  <c r="AE702" i="2"/>
  <c r="AE701" i="2" s="1"/>
  <c r="AE700" i="2" s="1"/>
  <c r="AE699" i="2" s="1"/>
  <c r="AG703" i="2"/>
  <c r="AE781" i="2"/>
  <c r="AE780" i="2" s="1"/>
  <c r="AG782" i="2"/>
  <c r="AE828" i="2"/>
  <c r="AE827" i="2" s="1"/>
  <c r="AE826" i="2" s="1"/>
  <c r="AE825" i="2" s="1"/>
  <c r="AE824" i="2" s="1"/>
  <c r="AG829" i="2"/>
  <c r="AE877" i="2"/>
  <c r="AE876" i="2" s="1"/>
  <c r="AE875" i="2" s="1"/>
  <c r="AE874" i="2" s="1"/>
  <c r="AE873" i="2" s="1"/>
  <c r="AG878" i="2"/>
  <c r="AE995" i="2"/>
  <c r="AE994" i="2" s="1"/>
  <c r="AG996" i="2"/>
  <c r="AE291" i="2"/>
  <c r="AG292" i="2"/>
  <c r="AE580" i="2"/>
  <c r="AG581" i="2"/>
  <c r="AE671" i="2"/>
  <c r="AE670" i="2" s="1"/>
  <c r="AG672" i="2"/>
  <c r="AE705" i="2"/>
  <c r="AE704" i="2" s="1"/>
  <c r="AG706" i="2"/>
  <c r="AE883" i="2"/>
  <c r="AE882" i="2" s="1"/>
  <c r="AE881" i="2" s="1"/>
  <c r="AE880" i="2" s="1"/>
  <c r="AE879" i="2" s="1"/>
  <c r="AG884" i="2"/>
  <c r="AE1004" i="2"/>
  <c r="AE1003" i="2" s="1"/>
  <c r="AE1002" i="2" s="1"/>
  <c r="AG1005" i="2"/>
  <c r="AE89" i="2"/>
  <c r="AG90" i="2"/>
  <c r="AE179" i="2"/>
  <c r="AG180" i="2"/>
  <c r="AE125" i="2"/>
  <c r="AE124" i="2" s="1"/>
  <c r="AE123" i="2" s="1"/>
  <c r="AG126" i="2"/>
  <c r="AE235" i="2"/>
  <c r="AE234" i="2" s="1"/>
  <c r="AE233" i="2" s="1"/>
  <c r="AE228" i="2" s="1"/>
  <c r="AE227" i="2" s="1"/>
  <c r="AE226" i="2" s="1"/>
  <c r="AG236" i="2"/>
  <c r="AE379" i="2"/>
  <c r="AE378" i="2" s="1"/>
  <c r="AG380" i="2"/>
  <c r="AE31" i="2"/>
  <c r="AE30" i="2" s="1"/>
  <c r="AG32" i="2"/>
  <c r="AE67" i="2"/>
  <c r="AG68" i="2"/>
  <c r="AE94" i="2"/>
  <c r="AG95" i="2"/>
  <c r="AE293" i="2"/>
  <c r="AE290" i="2" s="1"/>
  <c r="AE335" i="2"/>
  <c r="AE334" i="2" s="1"/>
  <c r="AE333" i="2" s="1"/>
  <c r="AE332" i="2" s="1"/>
  <c r="AE331" i="2" s="1"/>
  <c r="AG336" i="2"/>
  <c r="AE382" i="2"/>
  <c r="AE381" i="2" s="1"/>
  <c r="AG383" i="2"/>
  <c r="AE470" i="2"/>
  <c r="AG471" i="2"/>
  <c r="AE585" i="2"/>
  <c r="AE584" i="2" s="1"/>
  <c r="AE638" i="2"/>
  <c r="AE637" i="2" s="1"/>
  <c r="AG639" i="2"/>
  <c r="AE674" i="2"/>
  <c r="AE673" i="2" s="1"/>
  <c r="AG675" i="2"/>
  <c r="AE709" i="2"/>
  <c r="AE708" i="2" s="1"/>
  <c r="AE707" i="2" s="1"/>
  <c r="AG710" i="2"/>
  <c r="AE788" i="2"/>
  <c r="AE787" i="2" s="1"/>
  <c r="AG789" i="2"/>
  <c r="AE893" i="2"/>
  <c r="AE892" i="2" s="1"/>
  <c r="AG894" i="2"/>
  <c r="AE957" i="2"/>
  <c r="AE956" i="2" s="1"/>
  <c r="AE987" i="2"/>
  <c r="AG988" i="2"/>
  <c r="AE341" i="2"/>
  <c r="AG342" i="2"/>
  <c r="AE524" i="2"/>
  <c r="AE523" i="2" s="1"/>
  <c r="AE522" i="2" s="1"/>
  <c r="AE521" i="2" s="1"/>
  <c r="AE520" i="2" s="1"/>
  <c r="AE519" i="2" s="1"/>
  <c r="AE518" i="2" s="1"/>
  <c r="AG525" i="2"/>
  <c r="AE642" i="2"/>
  <c r="AE641" i="2" s="1"/>
  <c r="AE640" i="2" s="1"/>
  <c r="AE636" i="2" s="1"/>
  <c r="AE635" i="2" s="1"/>
  <c r="AE634" i="2" s="1"/>
  <c r="AG643" i="2"/>
  <c r="AE1012" i="2"/>
  <c r="AE1011" i="2" s="1"/>
  <c r="AE1010" i="2" s="1"/>
  <c r="AE1009" i="2" s="1"/>
  <c r="AE1008" i="2" s="1"/>
  <c r="AE1007" i="2" s="1"/>
  <c r="AG1013" i="2"/>
  <c r="AE69" i="2"/>
  <c r="AG70" i="2"/>
  <c r="AE96" i="2"/>
  <c r="AG97" i="2"/>
  <c r="AE36" i="2"/>
  <c r="AE35" i="2" s="1"/>
  <c r="AE102" i="2"/>
  <c r="AE101" i="2" s="1"/>
  <c r="AE100" i="2" s="1"/>
  <c r="AE99" i="2" s="1"/>
  <c r="AE98" i="2" s="1"/>
  <c r="AE142" i="2"/>
  <c r="AE141" i="2" s="1"/>
  <c r="AE140" i="2" s="1"/>
  <c r="AE139" i="2" s="1"/>
  <c r="AE138" i="2" s="1"/>
  <c r="AE137" i="2" s="1"/>
  <c r="AE343" i="2"/>
  <c r="AG343" i="2" s="1"/>
  <c r="AG344" i="2"/>
  <c r="AE478" i="2"/>
  <c r="AE477" i="2" s="1"/>
  <c r="AE476" i="2" s="1"/>
  <c r="AE475" i="2" s="1"/>
  <c r="AE474" i="2" s="1"/>
  <c r="AE473" i="2" s="1"/>
  <c r="AG479" i="2"/>
  <c r="AE588" i="2"/>
  <c r="AG589" i="2"/>
  <c r="AE645" i="2"/>
  <c r="AE644" i="2" s="1"/>
  <c r="AG646" i="2"/>
  <c r="AE846" i="2"/>
  <c r="AE960" i="2"/>
  <c r="AE959" i="2" s="1"/>
  <c r="AG961" i="2"/>
  <c r="AF889" i="2"/>
  <c r="AG889" i="2" s="1"/>
  <c r="AG890" i="2"/>
  <c r="AE191" i="2"/>
  <c r="AE188" i="2" s="1"/>
  <c r="AE187" i="2" s="1"/>
  <c r="AE186" i="2" s="1"/>
  <c r="AG192" i="2"/>
  <c r="AE246" i="2"/>
  <c r="AE245" i="2" s="1"/>
  <c r="AE244" i="2" s="1"/>
  <c r="AE243" i="2" s="1"/>
  <c r="AE242" i="2" s="1"/>
  <c r="AE241" i="2" s="1"/>
  <c r="AG247" i="2"/>
  <c r="AE301" i="2"/>
  <c r="AE300" i="2" s="1"/>
  <c r="AE299" i="2" s="1"/>
  <c r="AE298" i="2" s="1"/>
  <c r="AE297" i="2" s="1"/>
  <c r="AE351" i="2"/>
  <c r="AG352" i="2"/>
  <c r="AE389" i="2"/>
  <c r="AE388" i="2" s="1"/>
  <c r="AE387" i="2" s="1"/>
  <c r="AG390" i="2"/>
  <c r="AE650" i="2"/>
  <c r="AE649" i="2" s="1"/>
  <c r="AE648" i="2" s="1"/>
  <c r="AE647" i="2" s="1"/>
  <c r="AG651" i="2"/>
  <c r="AE726" i="2"/>
  <c r="AE725" i="2" s="1"/>
  <c r="AE724" i="2" s="1"/>
  <c r="AE723" i="2" s="1"/>
  <c r="AE722" i="2" s="1"/>
  <c r="AE721" i="2" s="1"/>
  <c r="AG727" i="2"/>
  <c r="AE897" i="2"/>
  <c r="AE896" i="2" s="1"/>
  <c r="AG898" i="2"/>
  <c r="AE963" i="2"/>
  <c r="AE962" i="2" s="1"/>
  <c r="AG964" i="2"/>
  <c r="AE1022" i="2"/>
  <c r="AE1021" i="2" s="1"/>
  <c r="AE1017" i="2" s="1"/>
  <c r="AE1016" i="2" s="1"/>
  <c r="AE1015" i="2" s="1"/>
  <c r="AE1014" i="2" s="1"/>
  <c r="AG1023" i="2"/>
  <c r="AE80" i="2"/>
  <c r="AG81" i="2"/>
  <c r="AE393" i="2"/>
  <c r="AE392" i="2" s="1"/>
  <c r="AE391" i="2" s="1"/>
  <c r="AG394" i="2"/>
  <c r="AE437" i="2"/>
  <c r="AE436" i="2" s="1"/>
  <c r="AE435" i="2" s="1"/>
  <c r="AE434" i="2" s="1"/>
  <c r="AE433" i="2" s="1"/>
  <c r="AE432" i="2" s="1"/>
  <c r="AE431" i="2" s="1"/>
  <c r="AG438" i="2"/>
  <c r="AE490" i="2"/>
  <c r="AE489" i="2" s="1"/>
  <c r="AE486" i="2" s="1"/>
  <c r="AG491" i="2"/>
  <c r="AE541" i="2"/>
  <c r="AG542" i="2"/>
  <c r="AE591" i="2"/>
  <c r="AG592" i="2"/>
  <c r="AE683" i="2"/>
  <c r="AE682" i="2" s="1"/>
  <c r="AG684" i="2"/>
  <c r="AE733" i="2"/>
  <c r="AE732" i="2" s="1"/>
  <c r="AE731" i="2" s="1"/>
  <c r="AE730" i="2" s="1"/>
  <c r="AG734" i="2"/>
  <c r="AE765" i="2"/>
  <c r="AE764" i="2" s="1"/>
  <c r="AE763" i="2" s="1"/>
  <c r="AE762" i="2" s="1"/>
  <c r="AE761" i="2" s="1"/>
  <c r="AE760" i="2" s="1"/>
  <c r="AE853" i="2"/>
  <c r="AE852" i="2" s="1"/>
  <c r="AG854" i="2"/>
  <c r="AE966" i="2"/>
  <c r="AE965" i="2" s="1"/>
  <c r="AG967" i="2"/>
  <c r="AE1030" i="2"/>
  <c r="AE1029" i="2" s="1"/>
  <c r="AG1031" i="2"/>
  <c r="AF900" i="2"/>
  <c r="AG900" i="2" s="1"/>
  <c r="AG901" i="2"/>
  <c r="AE543" i="2"/>
  <c r="AG545" i="2"/>
  <c r="AE856" i="2"/>
  <c r="AE855" i="2" s="1"/>
  <c r="AG857" i="2"/>
  <c r="AE973" i="2"/>
  <c r="AE972" i="2" s="1"/>
  <c r="AE971" i="2" s="1"/>
  <c r="AE970" i="2" s="1"/>
  <c r="AE969" i="2" s="1"/>
  <c r="AG974" i="2"/>
  <c r="AE1033" i="2"/>
  <c r="AE1032" i="2" s="1"/>
  <c r="AG1034" i="2"/>
  <c r="AE149" i="2"/>
  <c r="AE148" i="2" s="1"/>
  <c r="AE147" i="2" s="1"/>
  <c r="AE146" i="2" s="1"/>
  <c r="AE145" i="2" s="1"/>
  <c r="AE144" i="2" s="1"/>
  <c r="AG150" i="2"/>
  <c r="AE22" i="2"/>
  <c r="AG23" i="2"/>
  <c r="AE82" i="2"/>
  <c r="AE157" i="2"/>
  <c r="AE156" i="2" s="1"/>
  <c r="AE155" i="2" s="1"/>
  <c r="AG158" i="2"/>
  <c r="AE198" i="2"/>
  <c r="AE197" i="2" s="1"/>
  <c r="AE196" i="2" s="1"/>
  <c r="AE195" i="2" s="1"/>
  <c r="AE194" i="2" s="1"/>
  <c r="AE193" i="2" s="1"/>
  <c r="AG199" i="2"/>
  <c r="AE307" i="2"/>
  <c r="AE306" i="2" s="1"/>
  <c r="AE305" i="2" s="1"/>
  <c r="AE304" i="2" s="1"/>
  <c r="AG308" i="2"/>
  <c r="AE399" i="2"/>
  <c r="AG400" i="2"/>
  <c r="AE595" i="2"/>
  <c r="AE594" i="2" s="1"/>
  <c r="AE593" i="2" s="1"/>
  <c r="AG596" i="2"/>
  <c r="AE687" i="2"/>
  <c r="AE686" i="2" s="1"/>
  <c r="AG688" i="2"/>
  <c r="AE24" i="2"/>
  <c r="AE43" i="2"/>
  <c r="AE42" i="2" s="1"/>
  <c r="AE41" i="2" s="1"/>
  <c r="AG44" i="2"/>
  <c r="AE112" i="2"/>
  <c r="AE111" i="2" s="1"/>
  <c r="AE110" i="2" s="1"/>
  <c r="AE105" i="2" s="1"/>
  <c r="AE104" i="2" s="1"/>
  <c r="AE161" i="2"/>
  <c r="AE160" i="2" s="1"/>
  <c r="AE159" i="2" s="1"/>
  <c r="AG162" i="2"/>
  <c r="AE207" i="2"/>
  <c r="AE206" i="2" s="1"/>
  <c r="AE205" i="2" s="1"/>
  <c r="AE204" i="2" s="1"/>
  <c r="AE203" i="2" s="1"/>
  <c r="AE202" i="2" s="1"/>
  <c r="AG208" i="2"/>
  <c r="AE263" i="2"/>
  <c r="AE262" i="2" s="1"/>
  <c r="AE261" i="2" s="1"/>
  <c r="AE260" i="2" s="1"/>
  <c r="AE259" i="2" s="1"/>
  <c r="AG264" i="2"/>
  <c r="AE312" i="2"/>
  <c r="AE311" i="2" s="1"/>
  <c r="AE310" i="2" s="1"/>
  <c r="AE309" i="2" s="1"/>
  <c r="AG313" i="2"/>
  <c r="AE364" i="2"/>
  <c r="AE363" i="2" s="1"/>
  <c r="AE362" i="2" s="1"/>
  <c r="AE361" i="2" s="1"/>
  <c r="AG365" i="2"/>
  <c r="AE401" i="2"/>
  <c r="AG402" i="2"/>
  <c r="AE503" i="2"/>
  <c r="AE502" i="2" s="1"/>
  <c r="AG504" i="2"/>
  <c r="AE548" i="2"/>
  <c r="AE547" i="2" s="1"/>
  <c r="AE546" i="2" s="1"/>
  <c r="AG549" i="2"/>
  <c r="AE603" i="2"/>
  <c r="AE602" i="2" s="1"/>
  <c r="AE601" i="2" s="1"/>
  <c r="AE600" i="2" s="1"/>
  <c r="AE599" i="2" s="1"/>
  <c r="AE742" i="2"/>
  <c r="AE741" i="2" s="1"/>
  <c r="AE740" i="2" s="1"/>
  <c r="AE736" i="2" s="1"/>
  <c r="AG743" i="2"/>
  <c r="AE773" i="2"/>
  <c r="AE772" i="2" s="1"/>
  <c r="AE859" i="2"/>
  <c r="AE858" i="2" s="1"/>
  <c r="AG860" i="2"/>
  <c r="AE1036" i="2"/>
  <c r="AE1035" i="2" s="1"/>
  <c r="AG1037" i="2"/>
  <c r="AE910" i="2"/>
  <c r="AE909" i="2" s="1"/>
  <c r="AE899" i="2" s="1"/>
  <c r="AG911" i="2"/>
  <c r="AE168" i="2"/>
  <c r="AE167" i="2" s="1"/>
  <c r="AE166" i="2" s="1"/>
  <c r="AG169" i="2"/>
  <c r="AE450" i="2"/>
  <c r="AE449" i="2" s="1"/>
  <c r="AE448" i="2" s="1"/>
  <c r="AE447" i="2" s="1"/>
  <c r="AG451" i="2"/>
  <c r="AE505" i="2"/>
  <c r="AG507" i="2"/>
  <c r="AE690" i="2"/>
  <c r="AE689" i="2" s="1"/>
  <c r="AG691" i="2"/>
  <c r="AE815" i="2"/>
  <c r="AG816" i="2"/>
  <c r="AE916" i="2"/>
  <c r="AE915" i="2" s="1"/>
  <c r="AE914" i="2" s="1"/>
  <c r="AE913" i="2" s="1"/>
  <c r="AE912" i="2" s="1"/>
  <c r="AG917" i="2"/>
  <c r="AE948" i="2"/>
  <c r="AE947" i="2" s="1"/>
  <c r="AE946" i="2" s="1"/>
  <c r="AG949" i="2"/>
  <c r="AE1039" i="2"/>
  <c r="AE1038" i="2" s="1"/>
  <c r="AG1040" i="2"/>
  <c r="AF133" i="2"/>
  <c r="AG133" i="2" s="1"/>
  <c r="AE274" i="2"/>
  <c r="AE986" i="2"/>
  <c r="AE985" i="2" s="1"/>
  <c r="AE984" i="2" s="1"/>
  <c r="AE983" i="2" s="1"/>
  <c r="AE72" i="2"/>
  <c r="AE71" i="2" s="1"/>
  <c r="AE176" i="2"/>
  <c r="AE175" i="2" s="1"/>
  <c r="AE174" i="2" s="1"/>
  <c r="AE506" i="2"/>
  <c r="AE467" i="2"/>
  <c r="AE466" i="2" s="1"/>
  <c r="AE465" i="2" s="1"/>
  <c r="AE464" i="2" s="1"/>
  <c r="AE463" i="2" s="1"/>
  <c r="AE540" i="2"/>
  <c r="AE904" i="2"/>
  <c r="AE903" i="2" s="1"/>
  <c r="AE265" i="2"/>
  <c r="AE258" i="2" s="1"/>
  <c r="AE455" i="2"/>
  <c r="AE454" i="2" s="1"/>
  <c r="AE453" i="2" s="1"/>
  <c r="AE452" i="2" s="1"/>
  <c r="AE212" i="2"/>
  <c r="AE211" i="2" s="1"/>
  <c r="AE210" i="2" s="1"/>
  <c r="AE209" i="2" s="1"/>
  <c r="AE695" i="2"/>
  <c r="AE508" i="2"/>
  <c r="AE862" i="2"/>
  <c r="AE861" i="2" s="1"/>
  <c r="AE616" i="2"/>
  <c r="AE615" i="2" s="1"/>
  <c r="AE614" i="2" s="1"/>
  <c r="AE613" i="2" s="1"/>
  <c r="AE666" i="2"/>
  <c r="AE662" i="2" s="1"/>
  <c r="AE843" i="2"/>
  <c r="AE842" i="2" s="1"/>
  <c r="AE841" i="2" s="1"/>
  <c r="AE840" i="2" s="1"/>
  <c r="AE839" i="2" s="1"/>
  <c r="AE424" i="2"/>
  <c r="AE1001" i="2"/>
  <c r="AE1000" i="2" s="1"/>
  <c r="AE999" i="2" s="1"/>
  <c r="AE998" i="2" s="1"/>
  <c r="AE997" i="2" s="1"/>
  <c r="AE64" i="2"/>
  <c r="AE63" i="2" s="1"/>
  <c r="AE442" i="2"/>
  <c r="AE441" i="2"/>
  <c r="AE440" i="2" s="1"/>
  <c r="AE93" i="2"/>
  <c r="AE184" i="2"/>
  <c r="AE544" i="2"/>
  <c r="AE79" i="2"/>
  <c r="AE587" i="2"/>
  <c r="AE583" i="2" s="1"/>
  <c r="AE582" i="2" s="1"/>
  <c r="AD37" i="2"/>
  <c r="H63" i="7" s="1"/>
  <c r="AE888" i="2" l="1"/>
  <c r="AE633" i="2"/>
  <c r="AE88" i="2"/>
  <c r="AE201" i="2"/>
  <c r="I48" i="7"/>
  <c r="E220" i="9"/>
  <c r="AE975" i="2"/>
  <c r="H50" i="7"/>
  <c r="H47" i="7" s="1"/>
  <c r="H46" i="7" s="1"/>
  <c r="H45" i="7" s="1"/>
  <c r="H44" i="7" s="1"/>
  <c r="I51" i="7"/>
  <c r="I50" i="7" s="1"/>
  <c r="E223" i="9"/>
  <c r="E222" i="9" s="1"/>
  <c r="H655" i="7"/>
  <c r="AE374" i="2"/>
  <c r="AE373" i="2" s="1"/>
  <c r="AE119" i="2"/>
  <c r="AE598" i="2"/>
  <c r="AE597" i="2" s="1"/>
  <c r="AE398" i="2"/>
  <c r="AE397" i="2" s="1"/>
  <c r="H719" i="7"/>
  <c r="I649" i="7"/>
  <c r="I634" i="7" s="1"/>
  <c r="H606" i="7"/>
  <c r="E164" i="9"/>
  <c r="H62" i="7"/>
  <c r="H61" i="7" s="1"/>
  <c r="E427" i="9"/>
  <c r="E426" i="9" s="1"/>
  <c r="E425" i="9" s="1"/>
  <c r="H639" i="7"/>
  <c r="H638" i="7" s="1"/>
  <c r="H637" i="7" s="1"/>
  <c r="H636" i="7" s="1"/>
  <c r="H635" i="7" s="1"/>
  <c r="E91" i="9"/>
  <c r="E90" i="9" s="1"/>
  <c r="E89" i="9" s="1"/>
  <c r="E88" i="9" s="1"/>
  <c r="E87" i="9" s="1"/>
  <c r="I627" i="7"/>
  <c r="M627" i="7" s="1"/>
  <c r="M628" i="7"/>
  <c r="H41" i="7"/>
  <c r="H40" i="7" s="1"/>
  <c r="E683" i="9"/>
  <c r="E682" i="9" s="1"/>
  <c r="E681" i="9" s="1"/>
  <c r="H697" i="7"/>
  <c r="H696" i="7" s="1"/>
  <c r="H695" i="7" s="1"/>
  <c r="H688" i="7" s="1"/>
  <c r="H687" i="7" s="1"/>
  <c r="H680" i="7" s="1"/>
  <c r="E40" i="10" s="1"/>
  <c r="E503" i="9"/>
  <c r="E502" i="9" s="1"/>
  <c r="E501" i="9" s="1"/>
  <c r="E500" i="9" s="1"/>
  <c r="I873" i="7"/>
  <c r="M874" i="7"/>
  <c r="I733" i="7"/>
  <c r="M734" i="7"/>
  <c r="H38" i="7"/>
  <c r="H37" i="7" s="1"/>
  <c r="E680" i="9"/>
  <c r="E679" i="9" s="1"/>
  <c r="E678" i="9" s="1"/>
  <c r="H575" i="7"/>
  <c r="H574" i="7" s="1"/>
  <c r="E105" i="9"/>
  <c r="E104" i="9" s="1"/>
  <c r="E103" i="9" s="1"/>
  <c r="E102" i="9" s="1"/>
  <c r="H705" i="7"/>
  <c r="H704" i="7" s="1"/>
  <c r="H703" i="7" s="1"/>
  <c r="H702" i="7" s="1"/>
  <c r="H701" i="7" s="1"/>
  <c r="H700" i="7" s="1"/>
  <c r="E188" i="9"/>
  <c r="E187" i="9" s="1"/>
  <c r="E186" i="9" s="1"/>
  <c r="E185" i="9" s="1"/>
  <c r="E184" i="9" s="1"/>
  <c r="E183" i="9" s="1"/>
  <c r="H728" i="7"/>
  <c r="H727" i="7" s="1"/>
  <c r="H718" i="7" s="1"/>
  <c r="H717" i="7" s="1"/>
  <c r="H716" i="7" s="1"/>
  <c r="H715" i="7" s="1"/>
  <c r="E216" i="9"/>
  <c r="E215" i="9" s="1"/>
  <c r="E214" i="9" s="1"/>
  <c r="E205" i="9" s="1"/>
  <c r="E204" i="9" s="1"/>
  <c r="E203" i="9" s="1"/>
  <c r="E495" i="9"/>
  <c r="E494" i="9" s="1"/>
  <c r="H845" i="7"/>
  <c r="H844" i="7" s="1"/>
  <c r="H835" i="7" s="1"/>
  <c r="H649" i="7"/>
  <c r="AE1006" i="2"/>
  <c r="AE685" i="2"/>
  <c r="AE661" i="2" s="1"/>
  <c r="AE660" i="2" s="1"/>
  <c r="AE659" i="2" s="1"/>
  <c r="H634" i="7"/>
  <c r="E39" i="10" s="1"/>
  <c r="I845" i="7"/>
  <c r="I844" i="7" s="1"/>
  <c r="I835" i="7" s="1"/>
  <c r="I828" i="7"/>
  <c r="I827" i="7" s="1"/>
  <c r="I826" i="7" s="1"/>
  <c r="I825" i="7" s="1"/>
  <c r="H815" i="7"/>
  <c r="H817" i="7"/>
  <c r="H816" i="7" s="1"/>
  <c r="H828" i="7"/>
  <c r="H827" i="7" s="1"/>
  <c r="H826" i="7" s="1"/>
  <c r="H825" i="7" s="1"/>
  <c r="H824" i="7" s="1"/>
  <c r="E49" i="10" s="1"/>
  <c r="AE968" i="2"/>
  <c r="AE895" i="2"/>
  <c r="AE751" i="2"/>
  <c r="AG752" i="2"/>
  <c r="AE1028" i="2"/>
  <c r="AE1027" i="2" s="1"/>
  <c r="AE1026" i="2" s="1"/>
  <c r="AE1025" i="2" s="1"/>
  <c r="AE1024" i="2" s="1"/>
  <c r="AE485" i="2"/>
  <c r="AE484" i="2" s="1"/>
  <c r="AE340" i="2"/>
  <c r="AE339" i="2" s="1"/>
  <c r="AE338" i="2" s="1"/>
  <c r="AE337" i="2" s="1"/>
  <c r="AE330" i="2" s="1"/>
  <c r="AE62" i="2"/>
  <c r="AE136" i="2"/>
  <c r="AE786" i="2"/>
  <c r="AE785" i="2" s="1"/>
  <c r="AE784" i="2" s="1"/>
  <c r="AE783" i="2" s="1"/>
  <c r="AE927" i="2"/>
  <c r="AE926" i="2" s="1"/>
  <c r="AE501" i="2"/>
  <c r="AE494" i="2" s="1"/>
  <c r="AE493" i="2" s="1"/>
  <c r="AE492" i="2" s="1"/>
  <c r="AE851" i="2"/>
  <c r="AE850" i="2" s="1"/>
  <c r="AE849" i="2" s="1"/>
  <c r="AE848" i="2" s="1"/>
  <c r="AE838" i="2" s="1"/>
  <c r="AE286" i="2"/>
  <c r="AE285" i="2" s="1"/>
  <c r="AE284" i="2" s="1"/>
  <c r="AE406" i="2"/>
  <c r="AE532" i="2"/>
  <c r="AE531" i="2" s="1"/>
  <c r="AE530" i="2" s="1"/>
  <c r="AE529" i="2" s="1"/>
  <c r="AE528" i="2" s="1"/>
  <c r="AE527" i="2" s="1"/>
  <c r="AE526" i="2" s="1"/>
  <c r="AE771" i="2"/>
  <c r="AE462" i="2"/>
  <c r="AE605" i="2"/>
  <c r="AE165" i="2"/>
  <c r="AE29" i="2"/>
  <c r="AE28" i="2" s="1"/>
  <c r="AE27" i="2" s="1"/>
  <c r="AE26" i="2" s="1"/>
  <c r="AE814" i="2"/>
  <c r="AE813" i="2" s="1"/>
  <c r="AE812" i="2" s="1"/>
  <c r="AE811" i="2" s="1"/>
  <c r="AE810" i="2" s="1"/>
  <c r="AE802" i="2" s="1"/>
  <c r="AE488" i="2"/>
  <c r="AE487" i="2" s="1"/>
  <c r="AE87" i="2"/>
  <c r="AE78" i="2" s="1"/>
  <c r="AE77" i="2" s="1"/>
  <c r="AE945" i="2"/>
  <c r="AE944" i="2" s="1"/>
  <c r="AE823" i="2"/>
  <c r="AE822" i="2" s="1"/>
  <c r="AE887" i="2"/>
  <c r="AE886" i="2" s="1"/>
  <c r="AE885" i="2" s="1"/>
  <c r="AE21" i="2"/>
  <c r="AE20" i="2" s="1"/>
  <c r="AE19" i="2" s="1"/>
  <c r="AE18" i="2" s="1"/>
  <c r="AE350" i="2"/>
  <c r="AE349" i="2" s="1"/>
  <c r="AE348" i="2" s="1"/>
  <c r="AE347" i="2" s="1"/>
  <c r="AE303" i="2"/>
  <c r="AE154" i="2"/>
  <c r="AE153" i="2" s="1"/>
  <c r="AE152" i="2" s="1"/>
  <c r="AE182" i="2"/>
  <c r="AE181" i="2" s="1"/>
  <c r="AE577" i="2"/>
  <c r="AE576" i="2" s="1"/>
  <c r="AE571" i="2" s="1"/>
  <c r="AE570" i="2" s="1"/>
  <c r="AE569" i="2" s="1"/>
  <c r="AE568" i="2" s="1"/>
  <c r="AE872" i="2"/>
  <c r="AE273" i="2"/>
  <c r="AE439" i="2"/>
  <c r="AE200" i="2"/>
  <c r="AD691" i="2"/>
  <c r="H601" i="7" s="1"/>
  <c r="H600" i="7" s="1"/>
  <c r="G602" i="7"/>
  <c r="AE567" i="2" l="1"/>
  <c r="AE396" i="2"/>
  <c r="AE395" i="2" s="1"/>
  <c r="E219" i="9"/>
  <c r="E218" i="9" s="1"/>
  <c r="E217" i="9" s="1"/>
  <c r="E197" i="9" s="1"/>
  <c r="I47" i="7"/>
  <c r="I46" i="7" s="1"/>
  <c r="I45" i="7" s="1"/>
  <c r="I44" i="7" s="1"/>
  <c r="I43" i="7" s="1"/>
  <c r="AE164" i="2"/>
  <c r="AE163" i="2" s="1"/>
  <c r="AE151" i="2" s="1"/>
  <c r="H33" i="7"/>
  <c r="H26" i="7" s="1"/>
  <c r="H19" i="7" s="1"/>
  <c r="E11" i="10" s="1"/>
  <c r="E493" i="9"/>
  <c r="E674" i="9"/>
  <c r="H699" i="7"/>
  <c r="E41" i="10" s="1"/>
  <c r="M733" i="7"/>
  <c r="I732" i="7"/>
  <c r="I731" i="7" s="1"/>
  <c r="I730" i="7" s="1"/>
  <c r="I862" i="7"/>
  <c r="M862" i="7" s="1"/>
  <c r="M873" i="7"/>
  <c r="I824" i="7"/>
  <c r="I811" i="7" s="1"/>
  <c r="H814" i="7"/>
  <c r="H813" i="7"/>
  <c r="H812" i="7" s="1"/>
  <c r="E47" i="10" s="1"/>
  <c r="AE925" i="2"/>
  <c r="AE918" i="2" s="1"/>
  <c r="AE871" i="2" s="1"/>
  <c r="AE821" i="2" s="1"/>
  <c r="AE61" i="2"/>
  <c r="AE60" i="2" s="1"/>
  <c r="AE360" i="2"/>
  <c r="AE359" i="2" s="1"/>
  <c r="AE358" i="2" s="1"/>
  <c r="AG751" i="2"/>
  <c r="AE750" i="2"/>
  <c r="AE735" i="2" s="1"/>
  <c r="AE729" i="2" s="1"/>
  <c r="AE728" i="2" s="1"/>
  <c r="AE770" i="2"/>
  <c r="AE769" i="2" s="1"/>
  <c r="AE768" i="2" s="1"/>
  <c r="AE767" i="2" s="1"/>
  <c r="AE283" i="2"/>
  <c r="AE17" i="2"/>
  <c r="AE346" i="2"/>
  <c r="AE345" i="2"/>
  <c r="AE314" i="2" s="1"/>
  <c r="AE272" i="2"/>
  <c r="AD132" i="2"/>
  <c r="AD321" i="2"/>
  <c r="AD232" i="2"/>
  <c r="H341" i="7" s="1"/>
  <c r="AD92" i="2"/>
  <c r="AD50" i="2"/>
  <c r="J80" i="7"/>
  <c r="F80" i="7"/>
  <c r="D728" i="9" s="1"/>
  <c r="D727" i="9" s="1"/>
  <c r="D726" i="9" s="1"/>
  <c r="AD40" i="2"/>
  <c r="AF53" i="2"/>
  <c r="AD53" i="2"/>
  <c r="AD52" i="2" s="1"/>
  <c r="AD51" i="2" s="1"/>
  <c r="AE9" i="2" l="1"/>
  <c r="AE632" i="2"/>
  <c r="AE623" i="2" s="1"/>
  <c r="H65" i="7"/>
  <c r="H64" i="7" s="1"/>
  <c r="E430" i="9"/>
  <c r="E429" i="9" s="1"/>
  <c r="E428" i="9" s="1"/>
  <c r="E419" i="9" s="1"/>
  <c r="H75" i="7"/>
  <c r="H74" i="7" s="1"/>
  <c r="H73" i="7" s="1"/>
  <c r="H72" i="7" s="1"/>
  <c r="H71" i="7" s="1"/>
  <c r="E482" i="9"/>
  <c r="E481" i="9" s="1"/>
  <c r="E480" i="9" s="1"/>
  <c r="E479" i="9" s="1"/>
  <c r="H340" i="7"/>
  <c r="H339" i="7" s="1"/>
  <c r="H338" i="7" s="1"/>
  <c r="E553" i="9"/>
  <c r="E552" i="9" s="1"/>
  <c r="E551" i="9" s="1"/>
  <c r="E550" i="9" s="1"/>
  <c r="H167" i="7"/>
  <c r="E464" i="9"/>
  <c r="E463" i="9" s="1"/>
  <c r="F728" i="9"/>
  <c r="K80" i="7"/>
  <c r="AE271" i="2"/>
  <c r="AF52" i="2"/>
  <c r="AG53" i="2"/>
  <c r="F79" i="7"/>
  <c r="F78" i="7" s="1"/>
  <c r="F77" i="7" s="1"/>
  <c r="J79" i="7"/>
  <c r="H55" i="7" l="1"/>
  <c r="H54" i="7" s="1"/>
  <c r="F727" i="9"/>
  <c r="G728" i="9"/>
  <c r="J78" i="7"/>
  <c r="K79" i="7"/>
  <c r="AE257" i="2"/>
  <c r="AE8" i="2" s="1"/>
  <c r="AE1049" i="2" s="1"/>
  <c r="AF51" i="2"/>
  <c r="AG51" i="2" s="1"/>
  <c r="AG52" i="2"/>
  <c r="AD95" i="2"/>
  <c r="AD90" i="2"/>
  <c r="AD84" i="2"/>
  <c r="AD1034" i="2"/>
  <c r="AD514" i="2"/>
  <c r="AD517" i="2"/>
  <c r="AD1037" i="2"/>
  <c r="AD545" i="2"/>
  <c r="AD542" i="2"/>
  <c r="E441" i="9" s="1"/>
  <c r="E440" i="9" s="1"/>
  <c r="E439" i="9" s="1"/>
  <c r="AD996" i="2"/>
  <c r="H537" i="7" s="1"/>
  <c r="H536" i="7" s="1"/>
  <c r="AD993" i="2"/>
  <c r="H534" i="7" s="1"/>
  <c r="H533" i="7" s="1"/>
  <c r="AD782" i="2"/>
  <c r="AD779" i="2"/>
  <c r="H109" i="7" l="1"/>
  <c r="H108" i="7" s="1"/>
  <c r="E690" i="9"/>
  <c r="E689" i="9" s="1"/>
  <c r="E688" i="9" s="1"/>
  <c r="H165" i="7"/>
  <c r="H164" i="7" s="1"/>
  <c r="E462" i="9"/>
  <c r="E461" i="9" s="1"/>
  <c r="E460" i="9" s="1"/>
  <c r="F726" i="9"/>
  <c r="G726" i="9" s="1"/>
  <c r="G727" i="9"/>
  <c r="H170" i="7"/>
  <c r="E467" i="9"/>
  <c r="E466" i="9" s="1"/>
  <c r="H112" i="7"/>
  <c r="H111" i="7" s="1"/>
  <c r="E693" i="9"/>
  <c r="E692" i="9" s="1"/>
  <c r="E691" i="9" s="1"/>
  <c r="H156" i="7"/>
  <c r="E453" i="9"/>
  <c r="E452" i="9" s="1"/>
  <c r="H97" i="7"/>
  <c r="H96" i="7" s="1"/>
  <c r="E444" i="9"/>
  <c r="E443" i="9" s="1"/>
  <c r="E442" i="9" s="1"/>
  <c r="E431" i="9" s="1"/>
  <c r="J77" i="7"/>
  <c r="K77" i="7" s="1"/>
  <c r="K78" i="7"/>
  <c r="H93" i="7"/>
  <c r="H94" i="7"/>
  <c r="AD264" i="2"/>
  <c r="H373" i="7" s="1"/>
  <c r="AD365" i="2"/>
  <c r="H737" i="7" s="1"/>
  <c r="AD372" i="2"/>
  <c r="H744" i="7" s="1"/>
  <c r="H743" i="7" l="1"/>
  <c r="H742" i="7" s="1"/>
  <c r="H741" i="7" s="1"/>
  <c r="E28" i="9"/>
  <c r="E27" i="9" s="1"/>
  <c r="E26" i="9" s="1"/>
  <c r="E25" i="9" s="1"/>
  <c r="H372" i="7"/>
  <c r="H371" i="7" s="1"/>
  <c r="H370" i="7" s="1"/>
  <c r="H369" i="7" s="1"/>
  <c r="H368" i="7" s="1"/>
  <c r="E391" i="9"/>
  <c r="E390" i="9" s="1"/>
  <c r="E389" i="9" s="1"/>
  <c r="H736" i="7"/>
  <c r="H735" i="7" s="1"/>
  <c r="H734" i="7" s="1"/>
  <c r="H733" i="7" s="1"/>
  <c r="E21" i="9"/>
  <c r="E20" i="9" s="1"/>
  <c r="E19" i="9" s="1"/>
  <c r="E18" i="9" s="1"/>
  <c r="E17" i="9" s="1"/>
  <c r="AD694" i="2"/>
  <c r="G605" i="7"/>
  <c r="AD898" i="2"/>
  <c r="H404" i="7" l="1"/>
  <c r="H403" i="7" s="1"/>
  <c r="H402" i="7" s="1"/>
  <c r="E357" i="9"/>
  <c r="E356" i="9" s="1"/>
  <c r="E355" i="9" s="1"/>
  <c r="E354" i="9" s="1"/>
  <c r="AD589" i="2"/>
  <c r="AD586" i="2"/>
  <c r="H142" i="7" l="1"/>
  <c r="H141" i="7" s="1"/>
  <c r="E402" i="9"/>
  <c r="E401" i="9" s="1"/>
  <c r="E400" i="9" s="1"/>
  <c r="H145" i="7"/>
  <c r="H144" i="7" s="1"/>
  <c r="E405" i="9"/>
  <c r="E404" i="9" s="1"/>
  <c r="E403" i="9" s="1"/>
  <c r="F723" i="7"/>
  <c r="AD789" i="2"/>
  <c r="AD118" i="2"/>
  <c r="AD109" i="2"/>
  <c r="AD294" i="2"/>
  <c r="AD292" i="2"/>
  <c r="AD199" i="2"/>
  <c r="H278" i="7" s="1"/>
  <c r="AD289" i="2"/>
  <c r="H441" i="7" s="1"/>
  <c r="H440" i="7" s="1"/>
  <c r="H439" i="7" s="1"/>
  <c r="AD178" i="2"/>
  <c r="H257" i="7" s="1"/>
  <c r="H277" i="7" l="1"/>
  <c r="H276" i="7" s="1"/>
  <c r="H275" i="7" s="1"/>
  <c r="H274" i="7" s="1"/>
  <c r="H273" i="7" s="1"/>
  <c r="H272" i="7" s="1"/>
  <c r="E22" i="10" s="1"/>
  <c r="E267" i="9"/>
  <c r="E266" i="9" s="1"/>
  <c r="E265" i="9" s="1"/>
  <c r="E264" i="9" s="1"/>
  <c r="H444" i="7"/>
  <c r="E277" i="9"/>
  <c r="E276" i="9" s="1"/>
  <c r="H446" i="7"/>
  <c r="E279" i="9"/>
  <c r="E278" i="9" s="1"/>
  <c r="H184" i="7"/>
  <c r="H183" i="7" s="1"/>
  <c r="H182" i="7" s="1"/>
  <c r="E544" i="9"/>
  <c r="E543" i="9" s="1"/>
  <c r="E542" i="9" s="1"/>
  <c r="E541" i="9" s="1"/>
  <c r="H193" i="7"/>
  <c r="H192" i="7" s="1"/>
  <c r="H191" i="7" s="1"/>
  <c r="H190" i="7" s="1"/>
  <c r="E566" i="9"/>
  <c r="E565" i="9" s="1"/>
  <c r="E564" i="9" s="1"/>
  <c r="E563" i="9" s="1"/>
  <c r="E562" i="9" s="1"/>
  <c r="H256" i="7"/>
  <c r="E307" i="9"/>
  <c r="E306" i="9" s="1"/>
  <c r="AD646" i="2"/>
  <c r="H443" i="7" l="1"/>
  <c r="H438" i="7" s="1"/>
  <c r="H437" i="7" s="1"/>
  <c r="E275" i="9"/>
  <c r="I562" i="7"/>
  <c r="I561" i="7" s="1"/>
  <c r="I560" i="7" s="1"/>
  <c r="H561" i="7"/>
  <c r="H560" i="7" s="1"/>
  <c r="AD675" i="2"/>
  <c r="AD734" i="2"/>
  <c r="G482" i="7"/>
  <c r="I586" i="7" l="1"/>
  <c r="I585" i="7" s="1"/>
  <c r="I584" i="7" s="1"/>
  <c r="H585" i="7"/>
  <c r="H584" i="7" s="1"/>
  <c r="AD943" i="2"/>
  <c r="H481" i="7" l="1"/>
  <c r="H480" i="7" s="1"/>
  <c r="H479" i="7" s="1"/>
  <c r="E593" i="9"/>
  <c r="E592" i="9" s="1"/>
  <c r="E591" i="9" s="1"/>
  <c r="E590" i="9" s="1"/>
  <c r="AD32" i="2"/>
  <c r="AD491" i="2"/>
  <c r="H890" i="7" l="1"/>
  <c r="H886" i="7" s="1"/>
  <c r="E56" i="10"/>
  <c r="E55" i="10" s="1"/>
  <c r="E413" i="9"/>
  <c r="E412" i="9" s="1"/>
  <c r="E411" i="9" s="1"/>
  <c r="E410" i="9" s="1"/>
  <c r="E409" i="9" s="1"/>
  <c r="AD604" i="2"/>
  <c r="H889" i="7" l="1"/>
  <c r="H888" i="7" s="1"/>
  <c r="H887" i="7"/>
  <c r="H423" i="7"/>
  <c r="H422" i="7" s="1"/>
  <c r="H421" i="7" s="1"/>
  <c r="H420" i="7" s="1"/>
  <c r="H419" i="7" s="1"/>
  <c r="E388" i="9"/>
  <c r="E387" i="9" s="1"/>
  <c r="H885" i="7"/>
  <c r="H884" i="7"/>
  <c r="AD469" i="2"/>
  <c r="AD412" i="2"/>
  <c r="AD409" i="2"/>
  <c r="AD380" i="2"/>
  <c r="H752" i="7" s="1"/>
  <c r="H780" i="7" l="1"/>
  <c r="H779" i="7" s="1"/>
  <c r="E65" i="9"/>
  <c r="E64" i="9" s="1"/>
  <c r="E63" i="9" s="1"/>
  <c r="H751" i="7"/>
  <c r="H750" i="7" s="1"/>
  <c r="E36" i="9"/>
  <c r="E35" i="9" s="1"/>
  <c r="E34" i="9" s="1"/>
  <c r="H783" i="7"/>
  <c r="H782" i="7" s="1"/>
  <c r="E68" i="9"/>
  <c r="E67" i="9" s="1"/>
  <c r="E66" i="9" s="1"/>
  <c r="AD468" i="2"/>
  <c r="AD753" i="2"/>
  <c r="AD752" i="2" s="1"/>
  <c r="AD751" i="2" s="1"/>
  <c r="AD143" i="2"/>
  <c r="E508" i="9" s="1"/>
  <c r="E507" i="9" s="1"/>
  <c r="E506" i="9" s="1"/>
  <c r="E505" i="9" s="1"/>
  <c r="AD678" i="2"/>
  <c r="AD654" i="2"/>
  <c r="AD688" i="2"/>
  <c r="AD706" i="2"/>
  <c r="H868" i="7" l="1"/>
  <c r="E237" i="9"/>
  <c r="E236" i="9" s="1"/>
  <c r="E62" i="9"/>
  <c r="H778" i="7"/>
  <c r="I599" i="7"/>
  <c r="H598" i="7"/>
  <c r="H597" i="7" s="1"/>
  <c r="H596" i="7" s="1"/>
  <c r="I565" i="7"/>
  <c r="I564" i="7" s="1"/>
  <c r="I563" i="7" s="1"/>
  <c r="I552" i="7" s="1"/>
  <c r="I551" i="7" s="1"/>
  <c r="I550" i="7" s="1"/>
  <c r="I549" i="7" s="1"/>
  <c r="H564" i="7"/>
  <c r="H563" i="7" s="1"/>
  <c r="I222" i="7"/>
  <c r="I221" i="7" s="1"/>
  <c r="I220" i="7" s="1"/>
  <c r="I219" i="7" s="1"/>
  <c r="I218" i="7" s="1"/>
  <c r="I217" i="7" s="1"/>
  <c r="I216" i="7" s="1"/>
  <c r="I215" i="7" s="1"/>
  <c r="H221" i="7"/>
  <c r="H220" i="7" s="1"/>
  <c r="H219" i="7" s="1"/>
  <c r="H218" i="7" s="1"/>
  <c r="H217" i="7" s="1"/>
  <c r="H216" i="7" s="1"/>
  <c r="H588" i="7"/>
  <c r="H587" i="7" s="1"/>
  <c r="I589" i="7"/>
  <c r="I588" i="7" s="1"/>
  <c r="I587" i="7" s="1"/>
  <c r="G882" i="7"/>
  <c r="G881" i="7" s="1"/>
  <c r="G880" i="7" s="1"/>
  <c r="G875" i="7" s="1"/>
  <c r="G874" i="7" s="1"/>
  <c r="G873" i="7" s="1"/>
  <c r="G862" i="7" s="1"/>
  <c r="G430" i="7"/>
  <c r="AD816" i="2"/>
  <c r="AD820" i="2"/>
  <c r="AD818" i="2"/>
  <c r="H540" i="9"/>
  <c r="I540" i="9"/>
  <c r="J540" i="9"/>
  <c r="K540" i="9"/>
  <c r="L540" i="9"/>
  <c r="M540" i="9"/>
  <c r="N540" i="9"/>
  <c r="O540" i="9"/>
  <c r="P540" i="9"/>
  <c r="Q540" i="9"/>
  <c r="R540" i="9"/>
  <c r="S540" i="9"/>
  <c r="T540" i="9"/>
  <c r="U540" i="9"/>
  <c r="V540" i="9"/>
  <c r="W540" i="9"/>
  <c r="X540" i="9"/>
  <c r="Y540" i="9"/>
  <c r="Z540" i="9"/>
  <c r="AA540" i="9"/>
  <c r="AB540" i="9"/>
  <c r="AC540" i="9"/>
  <c r="AD540" i="9"/>
  <c r="AE540" i="9"/>
  <c r="L180" i="7"/>
  <c r="M180" i="7" s="1"/>
  <c r="G184" i="7"/>
  <c r="G183" i="7" s="1"/>
  <c r="G182" i="7" s="1"/>
  <c r="G181" i="7" s="1"/>
  <c r="G180" i="7" s="1"/>
  <c r="AF108" i="2"/>
  <c r="J185" i="7"/>
  <c r="F185" i="7"/>
  <c r="F184" i="7" s="1"/>
  <c r="F183" i="7" s="1"/>
  <c r="F182" i="7" s="1"/>
  <c r="AD108" i="2"/>
  <c r="AD107" i="2" s="1"/>
  <c r="AD106" i="2" s="1"/>
  <c r="H215" i="7" l="1"/>
  <c r="E17" i="10"/>
  <c r="E16" i="10" s="1"/>
  <c r="I598" i="7"/>
  <c r="I597" i="7" s="1"/>
  <c r="I596" i="7" s="1"/>
  <c r="E139" i="9"/>
  <c r="E138" i="9" s="1"/>
  <c r="E137" i="9" s="1"/>
  <c r="E136" i="9" s="1"/>
  <c r="E101" i="9" s="1"/>
  <c r="E100" i="9" s="1"/>
  <c r="J184" i="7"/>
  <c r="K185" i="7"/>
  <c r="AF107" i="2"/>
  <c r="AG108" i="2"/>
  <c r="D544" i="9"/>
  <c r="D543" i="9" s="1"/>
  <c r="D542" i="9" s="1"/>
  <c r="D541" i="9" s="1"/>
  <c r="F544" i="9"/>
  <c r="F543" i="9" l="1"/>
  <c r="G544" i="9"/>
  <c r="J183" i="7"/>
  <c r="K184" i="7"/>
  <c r="AF106" i="2"/>
  <c r="AG106" i="2" s="1"/>
  <c r="AG107" i="2"/>
  <c r="G616" i="7"/>
  <c r="AD710" i="2"/>
  <c r="F616" i="7" s="1"/>
  <c r="F542" i="9" l="1"/>
  <c r="G543" i="9"/>
  <c r="J182" i="7"/>
  <c r="K182" i="7" s="1"/>
  <c r="K183" i="7"/>
  <c r="AD70" i="2"/>
  <c r="AD619" i="2"/>
  <c r="H131" i="7" l="1"/>
  <c r="E386" i="9"/>
  <c r="E385" i="9" s="1"/>
  <c r="F541" i="9"/>
  <c r="G541" i="9" s="1"/>
  <c r="G542" i="9"/>
  <c r="AD917" i="2"/>
  <c r="H429" i="7" l="1"/>
  <c r="H428" i="7" s="1"/>
  <c r="H427" i="7" s="1"/>
  <c r="H426" i="7" s="1"/>
  <c r="H425" i="7" s="1"/>
  <c r="E631" i="9"/>
  <c r="E630" i="9" s="1"/>
  <c r="E629" i="9" s="1"/>
  <c r="AD958" i="2"/>
  <c r="AD961" i="2"/>
  <c r="H499" i="7" s="1"/>
  <c r="H498" i="7" s="1"/>
  <c r="H496" i="7" l="1"/>
  <c r="H495" i="7" s="1"/>
  <c r="E608" i="9"/>
  <c r="E607" i="9" s="1"/>
  <c r="E606" i="9" s="1"/>
  <c r="AD240" i="2"/>
  <c r="H349" i="7" s="1"/>
  <c r="H348" i="7" l="1"/>
  <c r="H347" i="7" s="1"/>
  <c r="H346" i="7" s="1"/>
  <c r="E561" i="9"/>
  <c r="E560" i="9" s="1"/>
  <c r="E559" i="9" s="1"/>
  <c r="E558" i="9" s="1"/>
  <c r="AD672" i="2"/>
  <c r="H582" i="7" s="1"/>
  <c r="H581" i="7" s="1"/>
  <c r="AD792" i="2" l="1"/>
  <c r="J669" i="7"/>
  <c r="F669" i="7"/>
  <c r="AF748" i="2"/>
  <c r="AD748" i="2"/>
  <c r="AD747" i="2" s="1"/>
  <c r="J883" i="7"/>
  <c r="F883" i="7"/>
  <c r="D249" i="9" s="1"/>
  <c r="D248" i="9" s="1"/>
  <c r="D247" i="9" s="1"/>
  <c r="D246" i="9" s="1"/>
  <c r="AF482" i="2"/>
  <c r="AD482" i="2"/>
  <c r="AD481" i="2" s="1"/>
  <c r="AD480" i="2" s="1"/>
  <c r="AD511" i="2"/>
  <c r="AD507" i="2"/>
  <c r="AD504" i="2"/>
  <c r="AD150" i="2"/>
  <c r="AD81" i="2"/>
  <c r="AD44" i="2"/>
  <c r="H69" i="7" l="1"/>
  <c r="H68" i="7" s="1"/>
  <c r="H67" i="7" s="1"/>
  <c r="H153" i="7"/>
  <c r="H152" i="7" s="1"/>
  <c r="E450" i="9"/>
  <c r="E449" i="9" s="1"/>
  <c r="E448" i="9" s="1"/>
  <c r="J882" i="7"/>
  <c r="K883" i="7"/>
  <c r="F178" i="9"/>
  <c r="K669" i="7"/>
  <c r="AF747" i="2"/>
  <c r="AG747" i="2" s="1"/>
  <c r="AG748" i="2"/>
  <c r="AF481" i="2"/>
  <c r="AG482" i="2"/>
  <c r="D178" i="9"/>
  <c r="D177" i="9" s="1"/>
  <c r="D176" i="9" s="1"/>
  <c r="G669" i="7"/>
  <c r="G668" i="7" s="1"/>
  <c r="G667" i="7" s="1"/>
  <c r="G656" i="7" s="1"/>
  <c r="G655" i="7" s="1"/>
  <c r="F249" i="9"/>
  <c r="F668" i="7"/>
  <c r="F667" i="7" s="1"/>
  <c r="J668" i="7"/>
  <c r="F882" i="7"/>
  <c r="F881" i="7" s="1"/>
  <c r="F880" i="7" s="1"/>
  <c r="AD180" i="2"/>
  <c r="H259" i="7" s="1"/>
  <c r="H53" i="7" l="1"/>
  <c r="H52" i="7" s="1"/>
  <c r="H43" i="7" s="1"/>
  <c r="E12" i="10" s="1"/>
  <c r="H258" i="7"/>
  <c r="H255" i="7" s="1"/>
  <c r="H254" i="7" s="1"/>
  <c r="H253" i="7" s="1"/>
  <c r="E309" i="9"/>
  <c r="E308" i="9" s="1"/>
  <c r="E305" i="9" s="1"/>
  <c r="E304" i="9" s="1"/>
  <c r="E303" i="9" s="1"/>
  <c r="F177" i="9"/>
  <c r="G178" i="9"/>
  <c r="F248" i="9"/>
  <c r="G249" i="9"/>
  <c r="J667" i="7"/>
  <c r="K667" i="7" s="1"/>
  <c r="K668" i="7"/>
  <c r="J881" i="7"/>
  <c r="K882" i="7"/>
  <c r="AF480" i="2"/>
  <c r="AG480" i="2" s="1"/>
  <c r="AG481" i="2"/>
  <c r="AD158" i="2"/>
  <c r="H236" i="7" l="1"/>
  <c r="H235" i="7" s="1"/>
  <c r="H234" i="7" s="1"/>
  <c r="E298" i="9"/>
  <c r="E297" i="9" s="1"/>
  <c r="E296" i="9" s="1"/>
  <c r="E295" i="9" s="1"/>
  <c r="F247" i="9"/>
  <c r="G248" i="9"/>
  <c r="F176" i="9"/>
  <c r="G176" i="9" s="1"/>
  <c r="G177" i="9"/>
  <c r="J880" i="7"/>
  <c r="K880" i="7" s="1"/>
  <c r="K881" i="7"/>
  <c r="AD302" i="2"/>
  <c r="AD1031" i="2"/>
  <c r="AD344" i="2"/>
  <c r="AD924" i="2"/>
  <c r="E572" i="9" s="1"/>
  <c r="E571" i="9" s="1"/>
  <c r="E570" i="9" s="1"/>
  <c r="E569" i="9" s="1"/>
  <c r="E568" i="9" s="1"/>
  <c r="E567" i="9" s="1"/>
  <c r="AD68" i="2"/>
  <c r="H106" i="7" l="1"/>
  <c r="H105" i="7" s="1"/>
  <c r="E687" i="9"/>
  <c r="E686" i="9" s="1"/>
  <c r="E685" i="9" s="1"/>
  <c r="H454" i="7"/>
  <c r="H453" i="7" s="1"/>
  <c r="H452" i="7" s="1"/>
  <c r="H451" i="7" s="1"/>
  <c r="H450" i="7" s="1"/>
  <c r="E486" i="9"/>
  <c r="E485" i="9" s="1"/>
  <c r="E484" i="9" s="1"/>
  <c r="E483" i="9" s="1"/>
  <c r="E478" i="9" s="1"/>
  <c r="F246" i="9"/>
  <c r="G246" i="9" s="1"/>
  <c r="G247" i="9"/>
  <c r="H129" i="7"/>
  <c r="E384" i="9"/>
  <c r="E383" i="9" s="1"/>
  <c r="H460" i="7"/>
  <c r="H459" i="7" s="1"/>
  <c r="H458" i="7" s="1"/>
  <c r="H457" i="7" s="1"/>
  <c r="H456" i="7" s="1"/>
  <c r="K461" i="7"/>
  <c r="AD419" i="2"/>
  <c r="E75" i="9" s="1"/>
  <c r="E74" i="9" s="1"/>
  <c r="E73" i="9" s="1"/>
  <c r="AD416" i="2"/>
  <c r="AD402" i="2"/>
  <c r="E58" i="9" s="1"/>
  <c r="E57" i="9" s="1"/>
  <c r="AD336" i="2"/>
  <c r="AD173" i="2"/>
  <c r="H252" i="7" s="1"/>
  <c r="AD169" i="2"/>
  <c r="AD162" i="2"/>
  <c r="F461" i="7"/>
  <c r="H247" i="7" l="1"/>
  <c r="H246" i="7" s="1"/>
  <c r="H245" i="7" s="1"/>
  <c r="E289" i="9"/>
  <c r="E288" i="9" s="1"/>
  <c r="E287" i="9" s="1"/>
  <c r="E286" i="9" s="1"/>
  <c r="H240" i="7"/>
  <c r="H239" i="7" s="1"/>
  <c r="H238" i="7" s="1"/>
  <c r="H233" i="7" s="1"/>
  <c r="H232" i="7" s="1"/>
  <c r="H231" i="7" s="1"/>
  <c r="E20" i="10" s="1"/>
  <c r="E302" i="9"/>
  <c r="E301" i="9" s="1"/>
  <c r="E300" i="9" s="1"/>
  <c r="E299" i="9" s="1"/>
  <c r="E294" i="9" s="1"/>
  <c r="H251" i="7"/>
  <c r="H250" i="7" s="1"/>
  <c r="H249" i="7" s="1"/>
  <c r="E293" i="9"/>
  <c r="E292" i="9" s="1"/>
  <c r="E291" i="9" s="1"/>
  <c r="E290" i="9" s="1"/>
  <c r="H787" i="7"/>
  <c r="H786" i="7" s="1"/>
  <c r="E72" i="9"/>
  <c r="E71" i="9" s="1"/>
  <c r="E70" i="9" s="1"/>
  <c r="E69" i="9" s="1"/>
  <c r="H773" i="7"/>
  <c r="K774" i="7"/>
  <c r="H790" i="7"/>
  <c r="H789" i="7" s="1"/>
  <c r="K791" i="7"/>
  <c r="AD86" i="2"/>
  <c r="E455" i="9" s="1"/>
  <c r="E454" i="9" s="1"/>
  <c r="E451" i="9" s="1"/>
  <c r="E285" i="9" l="1"/>
  <c r="H785" i="7"/>
  <c r="H244" i="7"/>
  <c r="H158" i="7"/>
  <c r="H155" i="7" s="1"/>
  <c r="K159" i="7"/>
  <c r="AD97" i="2"/>
  <c r="H172" i="7" l="1"/>
  <c r="H169" i="7" s="1"/>
  <c r="H163" i="7" s="1"/>
  <c r="H151" i="7" s="1"/>
  <c r="H150" i="7" s="1"/>
  <c r="E469" i="9"/>
  <c r="E468" i="9" s="1"/>
  <c r="E465" i="9" s="1"/>
  <c r="AD451" i="2"/>
  <c r="AD438" i="2"/>
  <c r="H810" i="7" s="1"/>
  <c r="H809" i="7" l="1"/>
  <c r="H808" i="7" s="1"/>
  <c r="H807" i="7" s="1"/>
  <c r="H806" i="7" s="1"/>
  <c r="H805" i="7" s="1"/>
  <c r="H804" i="7" s="1"/>
  <c r="H803" i="7" s="1"/>
  <c r="E45" i="10" s="1"/>
  <c r="E44" i="10" s="1"/>
  <c r="E15" i="9"/>
  <c r="E14" i="9" s="1"/>
  <c r="E13" i="9" s="1"/>
  <c r="E12" i="9" s="1"/>
  <c r="E11" i="9" s="1"/>
  <c r="E10" i="9" s="1"/>
  <c r="H822" i="7"/>
  <c r="H821" i="7" s="1"/>
  <c r="H820" i="7" s="1"/>
  <c r="H819" i="7" s="1"/>
  <c r="E706" i="9"/>
  <c r="E705" i="9" s="1"/>
  <c r="E704" i="9" s="1"/>
  <c r="AD400" i="2"/>
  <c r="H771" i="7" l="1"/>
  <c r="H770" i="7" s="1"/>
  <c r="H769" i="7" s="1"/>
  <c r="H768" i="7" s="1"/>
  <c r="H767" i="7" s="1"/>
  <c r="E56" i="9"/>
  <c r="E55" i="9" s="1"/>
  <c r="E54" i="9" s="1"/>
  <c r="E53" i="9" s="1"/>
  <c r="E52" i="9" s="1"/>
  <c r="E51" i="9" s="1"/>
  <c r="H811" i="7"/>
  <c r="E48" i="10"/>
  <c r="E46" i="10" s="1"/>
  <c r="J758" i="7"/>
  <c r="F758" i="7"/>
  <c r="G758" i="7" s="1"/>
  <c r="G757" i="7" s="1"/>
  <c r="G756" i="7" s="1"/>
  <c r="J740" i="7"/>
  <c r="F740" i="7"/>
  <c r="F739" i="7" s="1"/>
  <c r="F738" i="7" s="1"/>
  <c r="AF385" i="2"/>
  <c r="AD385" i="2"/>
  <c r="AD384" i="2" s="1"/>
  <c r="AF367" i="2"/>
  <c r="AD367" i="2"/>
  <c r="AD366" i="2" s="1"/>
  <c r="J739" i="7" l="1"/>
  <c r="K740" i="7"/>
  <c r="J757" i="7"/>
  <c r="K758" i="7"/>
  <c r="AF384" i="2"/>
  <c r="AG384" i="2" s="1"/>
  <c r="AG385" i="2"/>
  <c r="AF366" i="2"/>
  <c r="AG366" i="2" s="1"/>
  <c r="AG367" i="2"/>
  <c r="F757" i="7"/>
  <c r="F756" i="7" s="1"/>
  <c r="D42" i="9"/>
  <c r="D41" i="9" s="1"/>
  <c r="D40" i="9" s="1"/>
  <c r="F42" i="9"/>
  <c r="D24" i="9"/>
  <c r="D23" i="9" s="1"/>
  <c r="D22" i="9" s="1"/>
  <c r="G740" i="7"/>
  <c r="G739" i="7" s="1"/>
  <c r="G738" i="7" s="1"/>
  <c r="G734" i="7" s="1"/>
  <c r="G733" i="7" s="1"/>
  <c r="F24" i="9"/>
  <c r="F41" i="9" l="1"/>
  <c r="G42" i="9"/>
  <c r="F23" i="9"/>
  <c r="G24" i="9"/>
  <c r="J756" i="7"/>
  <c r="K756" i="7" s="1"/>
  <c r="K757" i="7"/>
  <c r="J738" i="7"/>
  <c r="K738" i="7" s="1"/>
  <c r="K739" i="7"/>
  <c r="AD185" i="2"/>
  <c r="AD308" i="2"/>
  <c r="AD1040" i="2"/>
  <c r="H115" i="7" l="1"/>
  <c r="H114" i="7" s="1"/>
  <c r="H104" i="7" s="1"/>
  <c r="H103" i="7" s="1"/>
  <c r="E696" i="9"/>
  <c r="E695" i="9" s="1"/>
  <c r="E694" i="9" s="1"/>
  <c r="E684" i="9" s="1"/>
  <c r="E667" i="9" s="1"/>
  <c r="H468" i="7"/>
  <c r="E580" i="9"/>
  <c r="E579" i="9" s="1"/>
  <c r="F22" i="9"/>
  <c r="G22" i="9" s="1"/>
  <c r="G23" i="9"/>
  <c r="F40" i="9"/>
  <c r="G40" i="9" s="1"/>
  <c r="G41" i="9"/>
  <c r="AD183" i="2"/>
  <c r="H264" i="7"/>
  <c r="J799" i="7"/>
  <c r="F799" i="7"/>
  <c r="F798" i="7" s="1"/>
  <c r="F797" i="7" s="1"/>
  <c r="AF426" i="2"/>
  <c r="AD426" i="2"/>
  <c r="AD425" i="2" s="1"/>
  <c r="L636" i="7"/>
  <c r="J648" i="7"/>
  <c r="F648" i="7"/>
  <c r="D99" i="9" s="1"/>
  <c r="D98" i="9" s="1"/>
  <c r="D97" i="9" s="1"/>
  <c r="D96" i="9" s="1"/>
  <c r="AF328" i="2"/>
  <c r="AD328" i="2"/>
  <c r="AD327" i="2" s="1"/>
  <c r="AD326" i="2" s="1"/>
  <c r="H263" i="7" l="1"/>
  <c r="H262" i="7" s="1"/>
  <c r="H261" i="7" s="1"/>
  <c r="H260" i="7" s="1"/>
  <c r="E314" i="9"/>
  <c r="E313" i="9" s="1"/>
  <c r="E312" i="9" s="1"/>
  <c r="E311" i="9" s="1"/>
  <c r="E310" i="9" s="1"/>
  <c r="M636" i="7"/>
  <c r="L635" i="7"/>
  <c r="M635" i="7" s="1"/>
  <c r="F99" i="9"/>
  <c r="K648" i="7"/>
  <c r="J798" i="7"/>
  <c r="K799" i="7"/>
  <c r="AF425" i="2"/>
  <c r="AG425" i="2" s="1"/>
  <c r="AG426" i="2"/>
  <c r="AF327" i="2"/>
  <c r="AG328" i="2"/>
  <c r="F83" i="9"/>
  <c r="G799" i="7"/>
  <c r="G798" i="7" s="1"/>
  <c r="G797" i="7" s="1"/>
  <c r="D83" i="9"/>
  <c r="D82" i="9" s="1"/>
  <c r="D81" i="9" s="1"/>
  <c r="F647" i="7"/>
  <c r="F646" i="7" s="1"/>
  <c r="F645" i="7" s="1"/>
  <c r="G648" i="7"/>
  <c r="G647" i="7" s="1"/>
  <c r="G646" i="7" s="1"/>
  <c r="G645" i="7" s="1"/>
  <c r="G636" i="7" s="1"/>
  <c r="G635" i="7" s="1"/>
  <c r="J647" i="7"/>
  <c r="AD23" i="2"/>
  <c r="AD25" i="2"/>
  <c r="AD122" i="2"/>
  <c r="G721" i="7"/>
  <c r="G725" i="7"/>
  <c r="F98" i="9" l="1"/>
  <c r="G99" i="9"/>
  <c r="F82" i="9"/>
  <c r="G83" i="9"/>
  <c r="J646" i="7"/>
  <c r="K647" i="7"/>
  <c r="J797" i="7"/>
  <c r="K797" i="7" s="1"/>
  <c r="K798" i="7"/>
  <c r="AF326" i="2"/>
  <c r="AG326" i="2" s="1"/>
  <c r="AG327" i="2"/>
  <c r="G724" i="7"/>
  <c r="AD355" i="2"/>
  <c r="L724" i="7"/>
  <c r="M724" i="7" s="1"/>
  <c r="J726" i="7"/>
  <c r="F726" i="7"/>
  <c r="D213" i="9" s="1"/>
  <c r="AF355" i="2"/>
  <c r="AG355" i="2" s="1"/>
  <c r="F725" i="7"/>
  <c r="AD352" i="2"/>
  <c r="F81" i="9" l="1"/>
  <c r="G81" i="9" s="1"/>
  <c r="G82" i="9"/>
  <c r="F97" i="9"/>
  <c r="G98" i="9"/>
  <c r="F213" i="9"/>
  <c r="G213" i="9" s="1"/>
  <c r="K726" i="7"/>
  <c r="J645" i="7"/>
  <c r="K645" i="7" s="1"/>
  <c r="K646" i="7"/>
  <c r="F724" i="7"/>
  <c r="F96" i="9" l="1"/>
  <c r="G96" i="9" s="1"/>
  <c r="G97" i="9"/>
  <c r="AD471" i="2"/>
  <c r="H871" i="7" s="1"/>
  <c r="E239" i="9" s="1"/>
  <c r="AD639" i="2" l="1"/>
  <c r="H554" i="7" s="1"/>
  <c r="H553" i="7" s="1"/>
  <c r="AD669" i="2"/>
  <c r="H579" i="7" s="1"/>
  <c r="H578" i="7" s="1"/>
  <c r="H577" i="7" s="1"/>
  <c r="AD643" i="2"/>
  <c r="H558" i="7" s="1"/>
  <c r="H557" i="7" s="1"/>
  <c r="H556" i="7" s="1"/>
  <c r="H552" i="7" l="1"/>
  <c r="H551" i="7" s="1"/>
  <c r="H550" i="7" s="1"/>
  <c r="H549" i="7" s="1"/>
  <c r="E37" i="10" s="1"/>
  <c r="AD911" i="2"/>
  <c r="H417" i="7" s="1"/>
  <c r="H416" i="7" s="1"/>
  <c r="AD208" i="2"/>
  <c r="H296" i="7" s="1"/>
  <c r="H295" i="7" l="1"/>
  <c r="H294" i="7" s="1"/>
  <c r="H293" i="7" s="1"/>
  <c r="H292" i="7" s="1"/>
  <c r="H291" i="7" s="1"/>
  <c r="H290" i="7" s="1"/>
  <c r="H289" i="7" s="1"/>
  <c r="E25" i="10" s="1"/>
  <c r="E472" i="9"/>
  <c r="E471" i="9" s="1"/>
  <c r="E470" i="9" s="1"/>
  <c r="E459" i="9" s="1"/>
  <c r="E415" i="9" s="1"/>
  <c r="AD592" i="2"/>
  <c r="H148" i="7" l="1"/>
  <c r="H147" i="7" s="1"/>
  <c r="H140" i="7" s="1"/>
  <c r="H139" i="7" s="1"/>
  <c r="E408" i="9"/>
  <c r="E407" i="9" s="1"/>
  <c r="E406" i="9" s="1"/>
  <c r="E399" i="9" s="1"/>
  <c r="E398" i="9" s="1"/>
  <c r="G418" i="7"/>
  <c r="AD949" i="2" l="1"/>
  <c r="AD857" i="2"/>
  <c r="H316" i="7" s="1"/>
  <c r="AD955" i="2"/>
  <c r="AD952" i="2"/>
  <c r="AD535" i="2"/>
  <c r="H87" i="7" s="1"/>
  <c r="H86" i="7" s="1"/>
  <c r="AD236" i="2"/>
  <c r="H345" i="7" s="1"/>
  <c r="AD829" i="2"/>
  <c r="AD479" i="2"/>
  <c r="J25" i="7"/>
  <c r="F25" i="7"/>
  <c r="F24" i="7" s="1"/>
  <c r="F23" i="7" s="1"/>
  <c r="F22" i="7" s="1"/>
  <c r="F21" i="7" s="1"/>
  <c r="F20" i="7" s="1"/>
  <c r="AD499" i="2"/>
  <c r="AD498" i="2" s="1"/>
  <c r="AD497" i="2" s="1"/>
  <c r="AD496" i="2" s="1"/>
  <c r="AD495" i="2" s="1"/>
  <c r="AF499" i="2"/>
  <c r="AD503" i="2"/>
  <c r="AD502" i="2" s="1"/>
  <c r="AF503" i="2"/>
  <c r="AD549" i="2"/>
  <c r="AD190" i="2"/>
  <c r="H269" i="7" s="1"/>
  <c r="AD566" i="2"/>
  <c r="AD698" i="2"/>
  <c r="E599" i="9" l="1"/>
  <c r="E598" i="9" s="1"/>
  <c r="E597" i="9" s="1"/>
  <c r="E596" i="9" s="1"/>
  <c r="H878" i="7"/>
  <c r="H877" i="7" s="1"/>
  <c r="H876" i="7" s="1"/>
  <c r="H875" i="7" s="1"/>
  <c r="H874" i="7" s="1"/>
  <c r="H873" i="7" s="1"/>
  <c r="E54" i="10" s="1"/>
  <c r="E245" i="9"/>
  <c r="E244" i="9" s="1"/>
  <c r="E243" i="9" s="1"/>
  <c r="E242" i="9" s="1"/>
  <c r="E241" i="9" s="1"/>
  <c r="H344" i="7"/>
  <c r="H343" i="7" s="1"/>
  <c r="H342" i="7" s="1"/>
  <c r="H337" i="7" s="1"/>
  <c r="H336" i="7" s="1"/>
  <c r="H335" i="7" s="1"/>
  <c r="E27" i="10" s="1"/>
  <c r="E557" i="9"/>
  <c r="E556" i="9" s="1"/>
  <c r="E555" i="9" s="1"/>
  <c r="E554" i="9" s="1"/>
  <c r="E549" i="9" s="1"/>
  <c r="H268" i="7"/>
  <c r="E319" i="9"/>
  <c r="E318" i="9" s="1"/>
  <c r="H490" i="7"/>
  <c r="H489" i="7" s="1"/>
  <c r="E602" i="9"/>
  <c r="E601" i="9" s="1"/>
  <c r="E600" i="9" s="1"/>
  <c r="H493" i="7"/>
  <c r="H492" i="7" s="1"/>
  <c r="E605" i="9"/>
  <c r="E604" i="9" s="1"/>
  <c r="E603" i="9" s="1"/>
  <c r="H315" i="7"/>
  <c r="H314" i="7" s="1"/>
  <c r="E530" i="9"/>
  <c r="E529" i="9" s="1"/>
  <c r="E528" i="9" s="1"/>
  <c r="H101" i="7"/>
  <c r="H100" i="7" s="1"/>
  <c r="H99" i="7" s="1"/>
  <c r="E476" i="9"/>
  <c r="E475" i="9" s="1"/>
  <c r="E474" i="9" s="1"/>
  <c r="E473" i="9" s="1"/>
  <c r="E414" i="9" s="1"/>
  <c r="J24" i="7"/>
  <c r="K25" i="7"/>
  <c r="H85" i="7"/>
  <c r="H84" i="7" s="1"/>
  <c r="AF502" i="2"/>
  <c r="AG502" i="2" s="1"/>
  <c r="AG503" i="2"/>
  <c r="AF498" i="2"/>
  <c r="AG499" i="2"/>
  <c r="AD390" i="2"/>
  <c r="H762" i="7" s="1"/>
  <c r="H487" i="7" l="1"/>
  <c r="H486" i="7" s="1"/>
  <c r="H485" i="7" s="1"/>
  <c r="H761" i="7"/>
  <c r="H760" i="7" s="1"/>
  <c r="H759" i="7" s="1"/>
  <c r="E46" i="9"/>
  <c r="E45" i="9" s="1"/>
  <c r="E44" i="9" s="1"/>
  <c r="E43" i="9" s="1"/>
  <c r="H83" i="7"/>
  <c r="H82" i="7" s="1"/>
  <c r="H81" i="7" s="1"/>
  <c r="E13" i="10" s="1"/>
  <c r="J23" i="7"/>
  <c r="K24" i="7"/>
  <c r="AF497" i="2"/>
  <c r="AG498" i="2"/>
  <c r="AD908" i="2"/>
  <c r="H414" i="7" l="1"/>
  <c r="H413" i="7" s="1"/>
  <c r="E367" i="9"/>
  <c r="E366" i="9" s="1"/>
  <c r="E365" i="9" s="1"/>
  <c r="J22" i="7"/>
  <c r="K23" i="7"/>
  <c r="AF496" i="2"/>
  <c r="AG497" i="2"/>
  <c r="J21" i="7" l="1"/>
  <c r="K22" i="7"/>
  <c r="AF495" i="2"/>
  <c r="AG495" i="2" s="1"/>
  <c r="AG496" i="2"/>
  <c r="L404" i="7"/>
  <c r="G405" i="7"/>
  <c r="AD684" i="2"/>
  <c r="AF557" i="2"/>
  <c r="AD557" i="2"/>
  <c r="AD556" i="2" s="1"/>
  <c r="AD555" i="2" s="1"/>
  <c r="AD554" i="2" s="1"/>
  <c r="AD553" i="2" s="1"/>
  <c r="AD552" i="2" s="1"/>
  <c r="AD551" i="2" s="1"/>
  <c r="AD550" i="2" s="1"/>
  <c r="L403" i="7" l="1"/>
  <c r="M404" i="7"/>
  <c r="J20" i="7"/>
  <c r="K20" i="7" s="1"/>
  <c r="K21" i="7"/>
  <c r="H594" i="7"/>
  <c r="H593" i="7" s="1"/>
  <c r="H573" i="7" s="1"/>
  <c r="H572" i="7" s="1"/>
  <c r="H571" i="7" s="1"/>
  <c r="H570" i="7" s="1"/>
  <c r="I595" i="7"/>
  <c r="I594" i="7" s="1"/>
  <c r="I593" i="7" s="1"/>
  <c r="I573" i="7" s="1"/>
  <c r="I572" i="7" s="1"/>
  <c r="I571" i="7" s="1"/>
  <c r="I570" i="7" s="1"/>
  <c r="I548" i="7" s="1"/>
  <c r="AF556" i="2"/>
  <c r="AG557" i="2"/>
  <c r="H548" i="7" l="1"/>
  <c r="E38" i="10"/>
  <c r="E36" i="10" s="1"/>
  <c r="L402" i="7"/>
  <c r="M402" i="7" s="1"/>
  <c r="M403" i="7"/>
  <c r="AF555" i="2"/>
  <c r="AG556" i="2"/>
  <c r="J592" i="7"/>
  <c r="F592" i="7"/>
  <c r="G592" i="7" s="1"/>
  <c r="G591" i="7" s="1"/>
  <c r="G590" i="7" s="1"/>
  <c r="AF680" i="2"/>
  <c r="AD680" i="2"/>
  <c r="AD679" i="2" s="1"/>
  <c r="J591" i="7" l="1"/>
  <c r="K592" i="7"/>
  <c r="AF679" i="2"/>
  <c r="AG679" i="2" s="1"/>
  <c r="AG680" i="2"/>
  <c r="AF554" i="2"/>
  <c r="AG555" i="2"/>
  <c r="D132" i="9"/>
  <c r="D131" i="9" s="1"/>
  <c r="D130" i="9" s="1"/>
  <c r="F132" i="9"/>
  <c r="F591" i="7"/>
  <c r="F590" i="7" s="1"/>
  <c r="AD596" i="2"/>
  <c r="E703" i="9" s="1"/>
  <c r="E702" i="9" s="1"/>
  <c r="E701" i="9" s="1"/>
  <c r="AD575" i="2"/>
  <c r="E382" i="9" s="1"/>
  <c r="E381" i="9" s="1"/>
  <c r="E380" i="9" s="1"/>
  <c r="E379" i="9" s="1"/>
  <c r="F131" i="9" l="1"/>
  <c r="G132" i="9"/>
  <c r="H127" i="7"/>
  <c r="H126" i="7" s="1"/>
  <c r="H125" i="7" s="1"/>
  <c r="K128" i="7"/>
  <c r="H197" i="7"/>
  <c r="H196" i="7" s="1"/>
  <c r="K198" i="7"/>
  <c r="J590" i="7"/>
  <c r="K590" i="7" s="1"/>
  <c r="K591" i="7"/>
  <c r="AF553" i="2"/>
  <c r="AG554" i="2"/>
  <c r="F130" i="9" l="1"/>
  <c r="G130" i="9" s="1"/>
  <c r="G131" i="9"/>
  <c r="AF552" i="2"/>
  <c r="AG553" i="2"/>
  <c r="AF551" i="2" l="1"/>
  <c r="AG552" i="2"/>
  <c r="F128" i="7"/>
  <c r="AF65" i="2"/>
  <c r="AG65" i="2" s="1"/>
  <c r="AD65" i="2"/>
  <c r="AF550" i="2" l="1"/>
  <c r="AG550" i="2" s="1"/>
  <c r="AG551" i="2"/>
  <c r="J424" i="7"/>
  <c r="F424" i="7"/>
  <c r="D388" i="9" s="1"/>
  <c r="D387" i="9" s="1"/>
  <c r="AF603" i="2"/>
  <c r="AD603" i="2"/>
  <c r="AD602" i="2" s="1"/>
  <c r="AD601" i="2" s="1"/>
  <c r="K424" i="7" l="1"/>
  <c r="F388" i="9"/>
  <c r="AF602" i="2"/>
  <c r="AG603" i="2"/>
  <c r="AD600" i="2"/>
  <c r="L546" i="7"/>
  <c r="G415" i="7"/>
  <c r="L545" i="7" l="1"/>
  <c r="M546" i="7"/>
  <c r="G388" i="9"/>
  <c r="F387" i="9"/>
  <c r="G387" i="9" s="1"/>
  <c r="AF601" i="2"/>
  <c r="AG602" i="2"/>
  <c r="AD598" i="2"/>
  <c r="AD597" i="2" s="1"/>
  <c r="AD599" i="2"/>
  <c r="AD930" i="2"/>
  <c r="AD126" i="2"/>
  <c r="H466" i="7" l="1"/>
  <c r="H465" i="7" s="1"/>
  <c r="E578" i="9"/>
  <c r="E577" i="9" s="1"/>
  <c r="E576" i="9" s="1"/>
  <c r="H201" i="7"/>
  <c r="H200" i="7" s="1"/>
  <c r="E710" i="9"/>
  <c r="E709" i="9" s="1"/>
  <c r="E708" i="9" s="1"/>
  <c r="E707" i="9" s="1"/>
  <c r="E697" i="9" s="1"/>
  <c r="L544" i="7"/>
  <c r="M545" i="7"/>
  <c r="AF600" i="2"/>
  <c r="AF599" i="2" s="1"/>
  <c r="AG599" i="2" s="1"/>
  <c r="AG601" i="2"/>
  <c r="AD905" i="2"/>
  <c r="AD665" i="2"/>
  <c r="J423" i="7"/>
  <c r="F423" i="7"/>
  <c r="F422" i="7" s="1"/>
  <c r="F421" i="7" s="1"/>
  <c r="AF132" i="2"/>
  <c r="AD923" i="2"/>
  <c r="AD922" i="2" s="1"/>
  <c r="AD921" i="2" s="1"/>
  <c r="AD920" i="2" s="1"/>
  <c r="AD919" i="2" s="1"/>
  <c r="AF923" i="2"/>
  <c r="H372" i="9"/>
  <c r="I372" i="9"/>
  <c r="J372" i="9"/>
  <c r="K372" i="9"/>
  <c r="L372" i="9"/>
  <c r="M372" i="9"/>
  <c r="N372" i="9"/>
  <c r="O372" i="9"/>
  <c r="P372" i="9"/>
  <c r="Q372" i="9"/>
  <c r="R372" i="9"/>
  <c r="S372" i="9"/>
  <c r="T372" i="9"/>
  <c r="U372" i="9"/>
  <c r="V372" i="9"/>
  <c r="W372" i="9"/>
  <c r="X372" i="9"/>
  <c r="Y372" i="9"/>
  <c r="Z372" i="9"/>
  <c r="AA372" i="9"/>
  <c r="AB372" i="9"/>
  <c r="AC372" i="9"/>
  <c r="AD372" i="9"/>
  <c r="AE372" i="9"/>
  <c r="J365" i="7"/>
  <c r="F365" i="7"/>
  <c r="F364" i="7" s="1"/>
  <c r="F363" i="7" s="1"/>
  <c r="F362" i="7" s="1"/>
  <c r="F361" i="7" s="1"/>
  <c r="F360" i="7" s="1"/>
  <c r="AF255" i="2"/>
  <c r="AD255" i="2"/>
  <c r="AD254" i="2" s="1"/>
  <c r="AD253" i="2" s="1"/>
  <c r="AD252" i="2" s="1"/>
  <c r="AD251" i="2" s="1"/>
  <c r="H411" i="7" l="1"/>
  <c r="H410" i="7" s="1"/>
  <c r="H406" i="7" s="1"/>
  <c r="E364" i="9"/>
  <c r="E363" i="9" s="1"/>
  <c r="E362" i="9" s="1"/>
  <c r="E358" i="9" s="1"/>
  <c r="M544" i="7"/>
  <c r="L543" i="7"/>
  <c r="J364" i="7"/>
  <c r="K365" i="7"/>
  <c r="J422" i="7"/>
  <c r="K423" i="7"/>
  <c r="AG132" i="2"/>
  <c r="H207" i="7"/>
  <c r="H206" i="7" s="1"/>
  <c r="AF922" i="2"/>
  <c r="AG923" i="2"/>
  <c r="AF598" i="2"/>
  <c r="AG600" i="2"/>
  <c r="AF254" i="2"/>
  <c r="AG255" i="2"/>
  <c r="D376" i="9"/>
  <c r="D375" i="9" s="1"/>
  <c r="D374" i="9" s="1"/>
  <c r="D373" i="9" s="1"/>
  <c r="D372" i="9" s="1"/>
  <c r="D371" i="9" s="1"/>
  <c r="F376" i="9"/>
  <c r="AD884" i="2"/>
  <c r="H391" i="7" s="1"/>
  <c r="AD988" i="2"/>
  <c r="H529" i="7" s="1"/>
  <c r="H528" i="7" s="1"/>
  <c r="H527" i="7" s="1"/>
  <c r="H526" i="7" s="1"/>
  <c r="H525" i="7" s="1"/>
  <c r="H517" i="7" s="1"/>
  <c r="AD225" i="2"/>
  <c r="H324" i="7" s="1"/>
  <c r="L542" i="7" l="1"/>
  <c r="M543" i="7"/>
  <c r="H323" i="7"/>
  <c r="H322" i="7" s="1"/>
  <c r="H321" i="7" s="1"/>
  <c r="H320" i="7" s="1"/>
  <c r="E538" i="9"/>
  <c r="E537" i="9" s="1"/>
  <c r="E536" i="9" s="1"/>
  <c r="E535" i="9" s="1"/>
  <c r="E534" i="9" s="1"/>
  <c r="F375" i="9"/>
  <c r="G376" i="9"/>
  <c r="H390" i="7"/>
  <c r="H389" i="7" s="1"/>
  <c r="H388" i="7" s="1"/>
  <c r="H387" i="7" s="1"/>
  <c r="H386" i="7" s="1"/>
  <c r="E665" i="9"/>
  <c r="E664" i="9" s="1"/>
  <c r="E663" i="9" s="1"/>
  <c r="E662" i="9" s="1"/>
  <c r="E661" i="9" s="1"/>
  <c r="E660" i="9" s="1"/>
  <c r="J421" i="7"/>
  <c r="K421" i="7" s="1"/>
  <c r="K422" i="7"/>
  <c r="J363" i="7"/>
  <c r="K364" i="7"/>
  <c r="H199" i="7"/>
  <c r="H195" i="7" s="1"/>
  <c r="AF597" i="2"/>
  <c r="AG597" i="2" s="1"/>
  <c r="AG598" i="2"/>
  <c r="AF921" i="2"/>
  <c r="AG922" i="2"/>
  <c r="AF253" i="2"/>
  <c r="AG254" i="2"/>
  <c r="J555" i="7"/>
  <c r="F555" i="7"/>
  <c r="F554" i="7" s="1"/>
  <c r="F553" i="7" s="1"/>
  <c r="AF638" i="2"/>
  <c r="AD638" i="2"/>
  <c r="AD637" i="2" s="1"/>
  <c r="AF800" i="2"/>
  <c r="AD800" i="2"/>
  <c r="AD799" i="2" s="1"/>
  <c r="AD798" i="2" s="1"/>
  <c r="AD797" i="2" s="1"/>
  <c r="AD796" i="2" s="1"/>
  <c r="AD795" i="2" s="1"/>
  <c r="AD794" i="2" s="1"/>
  <c r="AD793" i="2" s="1"/>
  <c r="F774" i="7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J744" i="7"/>
  <c r="F744" i="7"/>
  <c r="F743" i="7" s="1"/>
  <c r="F742" i="7" s="1"/>
  <c r="F741" i="7" s="1"/>
  <c r="AF371" i="2"/>
  <c r="AD371" i="2"/>
  <c r="AD370" i="2" s="1"/>
  <c r="AD369" i="2" s="1"/>
  <c r="H630" i="9"/>
  <c r="I630" i="9"/>
  <c r="J630" i="9"/>
  <c r="K630" i="9"/>
  <c r="L630" i="9"/>
  <c r="M630" i="9"/>
  <c r="N630" i="9"/>
  <c r="O630" i="9"/>
  <c r="P630" i="9"/>
  <c r="Q630" i="9"/>
  <c r="R630" i="9"/>
  <c r="S630" i="9"/>
  <c r="T630" i="9"/>
  <c r="U630" i="9"/>
  <c r="V630" i="9"/>
  <c r="W630" i="9"/>
  <c r="X630" i="9"/>
  <c r="Y630" i="9"/>
  <c r="Z630" i="9"/>
  <c r="AA630" i="9"/>
  <c r="AB630" i="9"/>
  <c r="AC630" i="9"/>
  <c r="AD630" i="9"/>
  <c r="AE630" i="9"/>
  <c r="G429" i="7"/>
  <c r="G428" i="7" s="1"/>
  <c r="G427" i="7" s="1"/>
  <c r="G426" i="7" s="1"/>
  <c r="G425" i="7" s="1"/>
  <c r="L429" i="7"/>
  <c r="J430" i="7"/>
  <c r="AD916" i="2"/>
  <c r="AD915" i="2" s="1"/>
  <c r="AD914" i="2" s="1"/>
  <c r="AD913" i="2" s="1"/>
  <c r="AD912" i="2" s="1"/>
  <c r="AD964" i="2"/>
  <c r="AD595" i="2"/>
  <c r="AD594" i="2" s="1"/>
  <c r="AD593" i="2" s="1"/>
  <c r="AF595" i="2"/>
  <c r="L477" i="7"/>
  <c r="AD342" i="2"/>
  <c r="H488" i="9"/>
  <c r="I488" i="9"/>
  <c r="J488" i="9"/>
  <c r="K488" i="9"/>
  <c r="L488" i="9"/>
  <c r="M488" i="9"/>
  <c r="N488" i="9"/>
  <c r="O488" i="9"/>
  <c r="P488" i="9"/>
  <c r="Q488" i="9"/>
  <c r="R488" i="9"/>
  <c r="S488" i="9"/>
  <c r="T488" i="9"/>
  <c r="U488" i="9"/>
  <c r="V488" i="9"/>
  <c r="W488" i="9"/>
  <c r="X488" i="9"/>
  <c r="Y488" i="9"/>
  <c r="Z488" i="9"/>
  <c r="AA488" i="9"/>
  <c r="AB488" i="9"/>
  <c r="AC488" i="9"/>
  <c r="AD488" i="9"/>
  <c r="AE488" i="9"/>
  <c r="G632" i="7"/>
  <c r="G631" i="7" s="1"/>
  <c r="G630" i="7" s="1"/>
  <c r="G629" i="7" s="1"/>
  <c r="G628" i="7" s="1"/>
  <c r="G627" i="7" s="1"/>
  <c r="J633" i="7"/>
  <c r="AF726" i="2"/>
  <c r="AD727" i="2"/>
  <c r="AD726" i="2" s="1"/>
  <c r="AD725" i="2" s="1"/>
  <c r="AD724" i="2" s="1"/>
  <c r="AD723" i="2" s="1"/>
  <c r="AD722" i="2" s="1"/>
  <c r="AD721" i="2" s="1"/>
  <c r="AD974" i="2"/>
  <c r="H515" i="7" s="1"/>
  <c r="H514" i="7" s="1"/>
  <c r="H513" i="7" s="1"/>
  <c r="H512" i="7" s="1"/>
  <c r="H511" i="7" s="1"/>
  <c r="H510" i="7" s="1"/>
  <c r="E33" i="10" s="1"/>
  <c r="AD192" i="2"/>
  <c r="H271" i="7" s="1"/>
  <c r="AD847" i="2"/>
  <c r="H288" i="7" s="1"/>
  <c r="E257" i="9" s="1"/>
  <c r="AG845" i="2"/>
  <c r="AD845" i="2"/>
  <c r="H286" i="7" s="1"/>
  <c r="E255" i="9" s="1"/>
  <c r="E254" i="9" s="1"/>
  <c r="H502" i="7" l="1"/>
  <c r="H501" i="7" s="1"/>
  <c r="E614" i="9"/>
  <c r="E613" i="9" s="1"/>
  <c r="E612" i="9" s="1"/>
  <c r="L428" i="7"/>
  <c r="M429" i="7"/>
  <c r="H270" i="7"/>
  <c r="H267" i="7" s="1"/>
  <c r="H266" i="7" s="1"/>
  <c r="H265" i="7" s="1"/>
  <c r="H243" i="7" s="1"/>
  <c r="H242" i="7" s="1"/>
  <c r="E321" i="9"/>
  <c r="E320" i="9" s="1"/>
  <c r="E317" i="9" s="1"/>
  <c r="E316" i="9" s="1"/>
  <c r="E315" i="9" s="1"/>
  <c r="F374" i="9"/>
  <c r="G375" i="9"/>
  <c r="E256" i="9"/>
  <c r="E253" i="9"/>
  <c r="E252" i="9" s="1"/>
  <c r="E251" i="9" s="1"/>
  <c r="E250" i="9" s="1"/>
  <c r="L476" i="7"/>
  <c r="M477" i="7"/>
  <c r="L541" i="7"/>
  <c r="M542" i="7"/>
  <c r="J743" i="7"/>
  <c r="K744" i="7"/>
  <c r="F631" i="9"/>
  <c r="K430" i="7"/>
  <c r="J362" i="7"/>
  <c r="K363" i="7"/>
  <c r="J632" i="7"/>
  <c r="K633" i="7"/>
  <c r="J554" i="7"/>
  <c r="K555" i="7"/>
  <c r="I286" i="7"/>
  <c r="I285" i="7" s="1"/>
  <c r="H285" i="7"/>
  <c r="H287" i="7"/>
  <c r="I288" i="7"/>
  <c r="I287" i="7" s="1"/>
  <c r="AF637" i="2"/>
  <c r="AG637" i="2" s="1"/>
  <c r="AG638" i="2"/>
  <c r="AF725" i="2"/>
  <c r="AG726" i="2"/>
  <c r="AF594" i="2"/>
  <c r="AG595" i="2"/>
  <c r="AF920" i="2"/>
  <c r="AG921" i="2"/>
  <c r="AF799" i="2"/>
  <c r="AG800" i="2"/>
  <c r="AF370" i="2"/>
  <c r="AG371" i="2"/>
  <c r="AF252" i="2"/>
  <c r="AG253" i="2"/>
  <c r="D28" i="9"/>
  <c r="D27" i="9" s="1"/>
  <c r="D26" i="9" s="1"/>
  <c r="D25" i="9" s="1"/>
  <c r="F28" i="9"/>
  <c r="AF916" i="2"/>
  <c r="F430" i="7"/>
  <c r="D631" i="9" s="1"/>
  <c r="D630" i="9" s="1"/>
  <c r="D629" i="9" s="1"/>
  <c r="F633" i="7"/>
  <c r="F632" i="7" s="1"/>
  <c r="F631" i="7" s="1"/>
  <c r="F630" i="7" s="1"/>
  <c r="F629" i="7" s="1"/>
  <c r="F628" i="7" s="1"/>
  <c r="F627" i="7" s="1"/>
  <c r="J429" i="7"/>
  <c r="F492" i="9"/>
  <c r="J762" i="7"/>
  <c r="F762" i="7"/>
  <c r="F761" i="7" s="1"/>
  <c r="F760" i="7" s="1"/>
  <c r="F759" i="7" s="1"/>
  <c r="AF389" i="2"/>
  <c r="AD389" i="2"/>
  <c r="AD388" i="2" s="1"/>
  <c r="AD387" i="2" s="1"/>
  <c r="L464" i="7" l="1"/>
  <c r="M476" i="7"/>
  <c r="F373" i="9"/>
  <c r="G374" i="9"/>
  <c r="F630" i="9"/>
  <c r="G631" i="9"/>
  <c r="H230" i="7"/>
  <c r="E21" i="10"/>
  <c r="E19" i="10" s="1"/>
  <c r="F27" i="9"/>
  <c r="G28" i="9"/>
  <c r="F491" i="9"/>
  <c r="G492" i="9"/>
  <c r="L427" i="7"/>
  <c r="M428" i="7"/>
  <c r="L540" i="7"/>
  <c r="M541" i="7"/>
  <c r="J761" i="7"/>
  <c r="K762" i="7"/>
  <c r="J631" i="7"/>
  <c r="K632" i="7"/>
  <c r="J553" i="7"/>
  <c r="K553" i="7" s="1"/>
  <c r="K554" i="7"/>
  <c r="J361" i="7"/>
  <c r="K362" i="7"/>
  <c r="I284" i="7"/>
  <c r="I283" i="7" s="1"/>
  <c r="I282" i="7" s="1"/>
  <c r="I281" i="7" s="1"/>
  <c r="I280" i="7" s="1"/>
  <c r="I279" i="7" s="1"/>
  <c r="J428" i="7"/>
  <c r="K429" i="7"/>
  <c r="J742" i="7"/>
  <c r="K743" i="7"/>
  <c r="H284" i="7"/>
  <c r="H283" i="7" s="1"/>
  <c r="H282" i="7" s="1"/>
  <c r="H281" i="7" s="1"/>
  <c r="H280" i="7" s="1"/>
  <c r="E24" i="10" s="1"/>
  <c r="AF915" i="2"/>
  <c r="AG916" i="2"/>
  <c r="AF593" i="2"/>
  <c r="AG593" i="2" s="1"/>
  <c r="AG594" i="2"/>
  <c r="AF798" i="2"/>
  <c r="AG799" i="2"/>
  <c r="AF724" i="2"/>
  <c r="AG725" i="2"/>
  <c r="AF919" i="2"/>
  <c r="AG919" i="2" s="1"/>
  <c r="AG920" i="2"/>
  <c r="AF388" i="2"/>
  <c r="AG389" i="2"/>
  <c r="AF369" i="2"/>
  <c r="AG369" i="2" s="1"/>
  <c r="AG370" i="2"/>
  <c r="AF251" i="2"/>
  <c r="AG251" i="2" s="1"/>
  <c r="AG252" i="2"/>
  <c r="F429" i="7"/>
  <c r="F428" i="7" s="1"/>
  <c r="F427" i="7" s="1"/>
  <c r="F426" i="7" s="1"/>
  <c r="F425" i="7" s="1"/>
  <c r="D492" i="9"/>
  <c r="D491" i="9" s="1"/>
  <c r="D490" i="9" s="1"/>
  <c r="D489" i="9" s="1"/>
  <c r="D488" i="9" s="1"/>
  <c r="F46" i="9"/>
  <c r="D46" i="9"/>
  <c r="D45" i="9" s="1"/>
  <c r="D44" i="9" s="1"/>
  <c r="D43" i="9" s="1"/>
  <c r="F75" i="9"/>
  <c r="F791" i="7"/>
  <c r="D75" i="9" s="1"/>
  <c r="D74" i="9" s="1"/>
  <c r="D73" i="9" s="1"/>
  <c r="J790" i="7"/>
  <c r="J665" i="7"/>
  <c r="F666" i="7"/>
  <c r="F665" i="7" s="1"/>
  <c r="F664" i="7" s="1"/>
  <c r="F26" i="9" l="1"/>
  <c r="G27" i="9"/>
  <c r="F629" i="9"/>
  <c r="G629" i="9" s="1"/>
  <c r="G630" i="9"/>
  <c r="F490" i="9"/>
  <c r="G491" i="9"/>
  <c r="L539" i="7"/>
  <c r="M539" i="7" s="1"/>
  <c r="M540" i="7"/>
  <c r="F372" i="9"/>
  <c r="G373" i="9"/>
  <c r="F74" i="9"/>
  <c r="G75" i="9"/>
  <c r="F45" i="9"/>
  <c r="G46" i="9"/>
  <c r="L426" i="7"/>
  <c r="M427" i="7"/>
  <c r="L463" i="7"/>
  <c r="M464" i="7"/>
  <c r="J741" i="7"/>
  <c r="K741" i="7" s="1"/>
  <c r="K742" i="7"/>
  <c r="J360" i="7"/>
  <c r="K360" i="7" s="1"/>
  <c r="K361" i="7"/>
  <c r="J664" i="7"/>
  <c r="K664" i="7" s="1"/>
  <c r="K665" i="7"/>
  <c r="J789" i="7"/>
  <c r="K789" i="7" s="1"/>
  <c r="K790" i="7"/>
  <c r="J427" i="7"/>
  <c r="K428" i="7"/>
  <c r="J630" i="7"/>
  <c r="K631" i="7"/>
  <c r="J760" i="7"/>
  <c r="K761" i="7"/>
  <c r="AF797" i="2"/>
  <c r="AG798" i="2"/>
  <c r="AF723" i="2"/>
  <c r="AG724" i="2"/>
  <c r="AF914" i="2"/>
  <c r="AG915" i="2"/>
  <c r="AF387" i="2"/>
  <c r="AG387" i="2" s="1"/>
  <c r="AG388" i="2"/>
  <c r="D487" i="9"/>
  <c r="F175" i="9"/>
  <c r="F790" i="7"/>
  <c r="F789" i="7" s="1"/>
  <c r="D175" i="9"/>
  <c r="D174" i="9" s="1"/>
  <c r="D173" i="9" s="1"/>
  <c r="AF418" i="2"/>
  <c r="AD418" i="2"/>
  <c r="AD417" i="2" s="1"/>
  <c r="AF745" i="2"/>
  <c r="AD745" i="2"/>
  <c r="AD744" i="2" s="1"/>
  <c r="AD525" i="2"/>
  <c r="F73" i="9" l="1"/>
  <c r="G73" i="9" s="1"/>
  <c r="G74" i="9"/>
  <c r="F371" i="9"/>
  <c r="G371" i="9" s="1"/>
  <c r="G372" i="9"/>
  <c r="M463" i="7"/>
  <c r="L462" i="7"/>
  <c r="F489" i="9"/>
  <c r="G490" i="9"/>
  <c r="L425" i="7"/>
  <c r="M425" i="7" s="1"/>
  <c r="M426" i="7"/>
  <c r="F174" i="9"/>
  <c r="G175" i="9"/>
  <c r="F44" i="9"/>
  <c r="G45" i="9"/>
  <c r="F25" i="9"/>
  <c r="G25" i="9" s="1"/>
  <c r="G26" i="9"/>
  <c r="J629" i="7"/>
  <c r="K630" i="7"/>
  <c r="J426" i="7"/>
  <c r="K427" i="7"/>
  <c r="J759" i="7"/>
  <c r="K759" i="7" s="1"/>
  <c r="K760" i="7"/>
  <c r="AF913" i="2"/>
  <c r="AG914" i="2"/>
  <c r="AF744" i="2"/>
  <c r="AG744" i="2" s="1"/>
  <c r="AG745" i="2"/>
  <c r="AF722" i="2"/>
  <c r="AG723" i="2"/>
  <c r="AF796" i="2"/>
  <c r="AG797" i="2"/>
  <c r="AF417" i="2"/>
  <c r="AG417" i="2" s="1"/>
  <c r="AG418" i="2"/>
  <c r="G401" i="7"/>
  <c r="F173" i="9" l="1"/>
  <c r="G173" i="9" s="1"/>
  <c r="G174" i="9"/>
  <c r="F488" i="9"/>
  <c r="G489" i="9"/>
  <c r="L436" i="7"/>
  <c r="M436" i="7" s="1"/>
  <c r="M462" i="7"/>
  <c r="F43" i="9"/>
  <c r="G43" i="9" s="1"/>
  <c r="G44" i="9"/>
  <c r="J425" i="7"/>
  <c r="K425" i="7" s="1"/>
  <c r="K426" i="7"/>
  <c r="J628" i="7"/>
  <c r="K629" i="7"/>
  <c r="AF721" i="2"/>
  <c r="AG721" i="2" s="1"/>
  <c r="AG722" i="2"/>
  <c r="AF795" i="2"/>
  <c r="AG796" i="2"/>
  <c r="AF912" i="2"/>
  <c r="AG912" i="2" s="1"/>
  <c r="AG913" i="2"/>
  <c r="AD894" i="2"/>
  <c r="H400" i="7" l="1"/>
  <c r="H399" i="7" s="1"/>
  <c r="E353" i="9"/>
  <c r="E352" i="9" s="1"/>
  <c r="E351" i="9" s="1"/>
  <c r="E347" i="9" s="1"/>
  <c r="E346" i="9" s="1"/>
  <c r="E339" i="9" s="1"/>
  <c r="G488" i="9"/>
  <c r="F487" i="9"/>
  <c r="G487" i="9" s="1"/>
  <c r="J627" i="7"/>
  <c r="K627" i="7" s="1"/>
  <c r="K628" i="7"/>
  <c r="AF794" i="2"/>
  <c r="AG795" i="2"/>
  <c r="AD472" i="2"/>
  <c r="H395" i="7" l="1"/>
  <c r="H394" i="7" s="1"/>
  <c r="H393" i="7" s="1"/>
  <c r="H392" i="7" s="1"/>
  <c r="E31" i="10" s="1"/>
  <c r="H870" i="7"/>
  <c r="H867" i="7" s="1"/>
  <c r="H866" i="7" s="1"/>
  <c r="H865" i="7" s="1"/>
  <c r="H864" i="7" s="1"/>
  <c r="H863" i="7" s="1"/>
  <c r="E240" i="9"/>
  <c r="E238" i="9" s="1"/>
  <c r="E235" i="9" s="1"/>
  <c r="E234" i="9" s="1"/>
  <c r="E233" i="9" s="1"/>
  <c r="E232" i="9" s="1"/>
  <c r="AF793" i="2"/>
  <c r="AG793" i="2" s="1"/>
  <c r="AG794" i="2"/>
  <c r="J435" i="7"/>
  <c r="K435" i="7" s="1"/>
  <c r="F435" i="7"/>
  <c r="AF281" i="2"/>
  <c r="AD281" i="2"/>
  <c r="AD280" i="2" s="1"/>
  <c r="AD279" i="2" s="1"/>
  <c r="H862" i="7" l="1"/>
  <c r="E53" i="10"/>
  <c r="E52" i="10" s="1"/>
  <c r="AF280" i="2"/>
  <c r="AG281" i="2"/>
  <c r="AD278" i="2"/>
  <c r="AD277" i="2" s="1"/>
  <c r="J516" i="7"/>
  <c r="F516" i="7"/>
  <c r="F515" i="7" s="1"/>
  <c r="F514" i="7" s="1"/>
  <c r="F513" i="7" s="1"/>
  <c r="F512" i="7" s="1"/>
  <c r="F511" i="7" s="1"/>
  <c r="AD973" i="2"/>
  <c r="AD972" i="2" s="1"/>
  <c r="AD971" i="2" s="1"/>
  <c r="AD970" i="2" s="1"/>
  <c r="AD969" i="2" s="1"/>
  <c r="AF973" i="2"/>
  <c r="J515" i="7" l="1"/>
  <c r="K516" i="7"/>
  <c r="AF972" i="2"/>
  <c r="AG973" i="2"/>
  <c r="AF279" i="2"/>
  <c r="AG280" i="2"/>
  <c r="AD622" i="2"/>
  <c r="J514" i="7" l="1"/>
  <c r="K515" i="7"/>
  <c r="AF971" i="2"/>
  <c r="AG972" i="2"/>
  <c r="AF278" i="2"/>
  <c r="AG279" i="2"/>
  <c r="H78" i="9"/>
  <c r="H77" i="9" s="1"/>
  <c r="I78" i="9"/>
  <c r="I77" i="9" s="1"/>
  <c r="J78" i="9"/>
  <c r="J77" i="9" s="1"/>
  <c r="K78" i="9"/>
  <c r="K77" i="9" s="1"/>
  <c r="L78" i="9"/>
  <c r="L77" i="9" s="1"/>
  <c r="M78" i="9"/>
  <c r="M77" i="9" s="1"/>
  <c r="N78" i="9"/>
  <c r="N77" i="9" s="1"/>
  <c r="O78" i="9"/>
  <c r="O77" i="9" s="1"/>
  <c r="P78" i="9"/>
  <c r="P77" i="9" s="1"/>
  <c r="Q78" i="9"/>
  <c r="Q77" i="9" s="1"/>
  <c r="R78" i="9"/>
  <c r="R77" i="9" s="1"/>
  <c r="S78" i="9"/>
  <c r="S77" i="9" s="1"/>
  <c r="T78" i="9"/>
  <c r="T77" i="9" s="1"/>
  <c r="U78" i="9"/>
  <c r="U77" i="9" s="1"/>
  <c r="V78" i="9"/>
  <c r="V77" i="9" s="1"/>
  <c r="W78" i="9"/>
  <c r="W77" i="9" s="1"/>
  <c r="X78" i="9"/>
  <c r="X77" i="9" s="1"/>
  <c r="Y78" i="9"/>
  <c r="Y77" i="9" s="1"/>
  <c r="Z78" i="9"/>
  <c r="Z77" i="9" s="1"/>
  <c r="AA78" i="9"/>
  <c r="AA77" i="9" s="1"/>
  <c r="AB78" i="9"/>
  <c r="AB77" i="9" s="1"/>
  <c r="AC78" i="9"/>
  <c r="AC77" i="9" s="1"/>
  <c r="AD78" i="9"/>
  <c r="AD77" i="9" s="1"/>
  <c r="AE78" i="9"/>
  <c r="AE77" i="9" s="1"/>
  <c r="J795" i="7"/>
  <c r="F795" i="7"/>
  <c r="F794" i="7" s="1"/>
  <c r="F793" i="7" s="1"/>
  <c r="F792" i="7" s="1"/>
  <c r="AF422" i="2"/>
  <c r="AD422" i="2"/>
  <c r="AD421" i="2" s="1"/>
  <c r="AD420" i="2" s="1"/>
  <c r="F79" i="9" l="1"/>
  <c r="K795" i="7"/>
  <c r="J513" i="7"/>
  <c r="K514" i="7"/>
  <c r="AF970" i="2"/>
  <c r="AG971" i="2"/>
  <c r="AF421" i="2"/>
  <c r="AG422" i="2"/>
  <c r="AF277" i="2"/>
  <c r="AG277" i="2" s="1"/>
  <c r="AG278" i="2"/>
  <c r="J794" i="7"/>
  <c r="D79" i="9"/>
  <c r="D78" i="9" s="1"/>
  <c r="D77" i="9" s="1"/>
  <c r="D76" i="9" s="1"/>
  <c r="AD743" i="2"/>
  <c r="F78" i="9" l="1"/>
  <c r="G79" i="9"/>
  <c r="J512" i="7"/>
  <c r="K513" i="7"/>
  <c r="J793" i="7"/>
  <c r="K794" i="7"/>
  <c r="AF969" i="2"/>
  <c r="AG969" i="2" s="1"/>
  <c r="AG970" i="2"/>
  <c r="AF420" i="2"/>
  <c r="AG420" i="2" s="1"/>
  <c r="AG421" i="2"/>
  <c r="J434" i="7"/>
  <c r="F434" i="7"/>
  <c r="F433" i="7" s="1"/>
  <c r="F432" i="7" s="1"/>
  <c r="F431" i="7" s="1"/>
  <c r="AF275" i="2"/>
  <c r="AD275" i="2"/>
  <c r="AD274" i="2" s="1"/>
  <c r="AD273" i="2" s="1"/>
  <c r="AD272" i="2" s="1"/>
  <c r="AD271" i="2" s="1"/>
  <c r="J214" i="7"/>
  <c r="F214" i="7"/>
  <c r="D725" i="9" s="1"/>
  <c r="D724" i="9" s="1"/>
  <c r="D723" i="9" s="1"/>
  <c r="AD809" i="2"/>
  <c r="AD1013" i="2"/>
  <c r="AF836" i="2"/>
  <c r="AD836" i="2"/>
  <c r="AD835" i="2" s="1"/>
  <c r="AD834" i="2" s="1"/>
  <c r="F77" i="9" l="1"/>
  <c r="G78" i="9"/>
  <c r="J433" i="7"/>
  <c r="K434" i="7"/>
  <c r="F725" i="9"/>
  <c r="K214" i="7"/>
  <c r="J792" i="7"/>
  <c r="K792" i="7" s="1"/>
  <c r="K793" i="7"/>
  <c r="J511" i="7"/>
  <c r="K511" i="7" s="1"/>
  <c r="K512" i="7"/>
  <c r="AF274" i="2"/>
  <c r="AG275" i="2"/>
  <c r="AF835" i="2"/>
  <c r="AG836" i="2"/>
  <c r="F420" i="7"/>
  <c r="F419" i="7" s="1"/>
  <c r="J420" i="7"/>
  <c r="D716" i="9"/>
  <c r="D715" i="9" s="1"/>
  <c r="D714" i="9" s="1"/>
  <c r="F716" i="9"/>
  <c r="F213" i="7"/>
  <c r="F212" i="7" s="1"/>
  <c r="J213" i="7"/>
  <c r="F724" i="9" l="1"/>
  <c r="G725" i="9"/>
  <c r="F715" i="9"/>
  <c r="G716" i="9"/>
  <c r="F76" i="9"/>
  <c r="G76" i="9" s="1"/>
  <c r="G77" i="9"/>
  <c r="J212" i="7"/>
  <c r="K212" i="7" s="1"/>
  <c r="K213" i="7"/>
  <c r="J419" i="7"/>
  <c r="K419" i="7" s="1"/>
  <c r="K420" i="7"/>
  <c r="J432" i="7"/>
  <c r="K433" i="7"/>
  <c r="AF834" i="2"/>
  <c r="AG834" i="2" s="1"/>
  <c r="AG835" i="2"/>
  <c r="AF273" i="2"/>
  <c r="AG274" i="2"/>
  <c r="J205" i="7"/>
  <c r="F205" i="7"/>
  <c r="D713" i="9" s="1"/>
  <c r="D712" i="9" s="1"/>
  <c r="D711" i="9" s="1"/>
  <c r="AF128" i="2"/>
  <c r="AD128" i="2"/>
  <c r="AD127" i="2" s="1"/>
  <c r="F714" i="9" l="1"/>
  <c r="G714" i="9" s="1"/>
  <c r="G715" i="9"/>
  <c r="F723" i="9"/>
  <c r="G723" i="9" s="1"/>
  <c r="G724" i="9"/>
  <c r="J431" i="7"/>
  <c r="K431" i="7" s="1"/>
  <c r="K432" i="7"/>
  <c r="F713" i="9"/>
  <c r="K205" i="7"/>
  <c r="AF272" i="2"/>
  <c r="AG273" i="2"/>
  <c r="AF127" i="2"/>
  <c r="AG127" i="2" s="1"/>
  <c r="AG128" i="2"/>
  <c r="F204" i="7"/>
  <c r="F203" i="7" s="1"/>
  <c r="J204" i="7"/>
  <c r="F712" i="9" l="1"/>
  <c r="G713" i="9"/>
  <c r="J203" i="7"/>
  <c r="K203" i="7" s="1"/>
  <c r="K204" i="7"/>
  <c r="AF271" i="2"/>
  <c r="AG271" i="2" s="1"/>
  <c r="AG272" i="2"/>
  <c r="G414" i="7"/>
  <c r="G413" i="7" s="1"/>
  <c r="L414" i="7"/>
  <c r="J415" i="7"/>
  <c r="F415" i="7"/>
  <c r="F414" i="7" s="1"/>
  <c r="F413" i="7" s="1"/>
  <c r="L413" i="7" l="1"/>
  <c r="M414" i="7"/>
  <c r="F711" i="9"/>
  <c r="G711" i="9" s="1"/>
  <c r="G712" i="9"/>
  <c r="J414" i="7"/>
  <c r="K415" i="7"/>
  <c r="F367" i="9"/>
  <c r="D367" i="9"/>
  <c r="D366" i="9" s="1"/>
  <c r="D365" i="9" s="1"/>
  <c r="AF907" i="2"/>
  <c r="AD907" i="2"/>
  <c r="AD906" i="2" s="1"/>
  <c r="H351" i="9"/>
  <c r="I351" i="9"/>
  <c r="J351" i="9"/>
  <c r="K351" i="9"/>
  <c r="L351" i="9"/>
  <c r="M351" i="9"/>
  <c r="N351" i="9"/>
  <c r="O351" i="9"/>
  <c r="P351" i="9"/>
  <c r="Q351" i="9"/>
  <c r="R351" i="9"/>
  <c r="S351" i="9"/>
  <c r="T351" i="9"/>
  <c r="U351" i="9"/>
  <c r="V351" i="9"/>
  <c r="W351" i="9"/>
  <c r="X351" i="9"/>
  <c r="Y351" i="9"/>
  <c r="Z351" i="9"/>
  <c r="AA351" i="9"/>
  <c r="AB351" i="9"/>
  <c r="AC351" i="9"/>
  <c r="AD351" i="9"/>
  <c r="AE351" i="9"/>
  <c r="G400" i="7"/>
  <c r="G399" i="7" s="1"/>
  <c r="L400" i="7"/>
  <c r="J401" i="7"/>
  <c r="F401" i="7"/>
  <c r="D353" i="9" s="1"/>
  <c r="D352" i="9" s="1"/>
  <c r="D351" i="9" s="1"/>
  <c r="AF893" i="2"/>
  <c r="AD893" i="2"/>
  <c r="AD892" i="2" s="1"/>
  <c r="F366" i="9" l="1"/>
  <c r="G367" i="9"/>
  <c r="L399" i="7"/>
  <c r="M400" i="7"/>
  <c r="M413" i="7"/>
  <c r="L406" i="7"/>
  <c r="M406" i="7" s="1"/>
  <c r="J400" i="7"/>
  <c r="K401" i="7"/>
  <c r="J413" i="7"/>
  <c r="K413" i="7" s="1"/>
  <c r="K414" i="7"/>
  <c r="AF892" i="2"/>
  <c r="AG892" i="2" s="1"/>
  <c r="AG893" i="2"/>
  <c r="AF906" i="2"/>
  <c r="AG906" i="2" s="1"/>
  <c r="AG907" i="2"/>
  <c r="F400" i="7"/>
  <c r="F399" i="7" s="1"/>
  <c r="F353" i="9"/>
  <c r="J102" i="7"/>
  <c r="F102" i="7"/>
  <c r="F101" i="7" s="1"/>
  <c r="F100" i="7" s="1"/>
  <c r="F99" i="7" s="1"/>
  <c r="AD548" i="2"/>
  <c r="AD547" i="2" s="1"/>
  <c r="AD546" i="2" s="1"/>
  <c r="AF548" i="2"/>
  <c r="F352" i="9" l="1"/>
  <c r="G353" i="9"/>
  <c r="L395" i="7"/>
  <c r="M395" i="7" s="1"/>
  <c r="M399" i="7"/>
  <c r="F365" i="9"/>
  <c r="G365" i="9" s="1"/>
  <c r="G366" i="9"/>
  <c r="J101" i="7"/>
  <c r="K102" i="7"/>
  <c r="J399" i="7"/>
  <c r="K399" i="7" s="1"/>
  <c r="K400" i="7"/>
  <c r="AF547" i="2"/>
  <c r="AG548" i="2"/>
  <c r="F198" i="7"/>
  <c r="F351" i="9" l="1"/>
  <c r="G351" i="9" s="1"/>
  <c r="G352" i="9"/>
  <c r="J100" i="7"/>
  <c r="K101" i="7"/>
  <c r="AF546" i="2"/>
  <c r="AG546" i="2" s="1"/>
  <c r="AG547" i="2"/>
  <c r="J60" i="7"/>
  <c r="F60" i="7"/>
  <c r="F59" i="7" s="1"/>
  <c r="AF33" i="2"/>
  <c r="AG33" i="2" s="1"/>
  <c r="AD33" i="2"/>
  <c r="AF828" i="2"/>
  <c r="AD828" i="2"/>
  <c r="AD827" i="2" s="1"/>
  <c r="AD826" i="2" s="1"/>
  <c r="AD825" i="2" s="1"/>
  <c r="AD824" i="2" s="1"/>
  <c r="J59" i="7" l="1"/>
  <c r="K59" i="7" s="1"/>
  <c r="K60" i="7"/>
  <c r="J99" i="7"/>
  <c r="K99" i="7" s="1"/>
  <c r="K100" i="7"/>
  <c r="AF827" i="2"/>
  <c r="AG828" i="2"/>
  <c r="D424" i="9"/>
  <c r="D423" i="9" s="1"/>
  <c r="F424" i="9"/>
  <c r="AD446" i="2"/>
  <c r="J708" i="7"/>
  <c r="F708" i="7"/>
  <c r="F707" i="7" s="1"/>
  <c r="AD774" i="2"/>
  <c r="AF775" i="2"/>
  <c r="AG775" i="2" s="1"/>
  <c r="AD775" i="2"/>
  <c r="F423" i="9" l="1"/>
  <c r="G423" i="9" s="1"/>
  <c r="G424" i="9"/>
  <c r="J707" i="7"/>
  <c r="K707" i="7" s="1"/>
  <c r="K708" i="7"/>
  <c r="AF826" i="2"/>
  <c r="AG827" i="2"/>
  <c r="D190" i="9"/>
  <c r="D189" i="9" s="1"/>
  <c r="F190" i="9"/>
  <c r="F189" i="9" l="1"/>
  <c r="G189" i="9" s="1"/>
  <c r="G190" i="9"/>
  <c r="AF825" i="2"/>
  <c r="AG826" i="2"/>
  <c r="J810" i="7"/>
  <c r="F810" i="7"/>
  <c r="D15" i="9" s="1"/>
  <c r="D14" i="9" s="1"/>
  <c r="D13" i="9" s="1"/>
  <c r="D12" i="9" s="1"/>
  <c r="D11" i="9" s="1"/>
  <c r="D10" i="9" s="1"/>
  <c r="AF437" i="2"/>
  <c r="AD437" i="2"/>
  <c r="AD436" i="2" s="1"/>
  <c r="AD435" i="2" s="1"/>
  <c r="AD434" i="2" s="1"/>
  <c r="AD433" i="2" s="1"/>
  <c r="AD432" i="2" s="1"/>
  <c r="AD431" i="2" s="1"/>
  <c r="J809" i="7" l="1"/>
  <c r="K810" i="7"/>
  <c r="AF824" i="2"/>
  <c r="AG824" i="2" s="1"/>
  <c r="AG825" i="2"/>
  <c r="AF436" i="2"/>
  <c r="AG437" i="2"/>
  <c r="F809" i="7"/>
  <c r="F808" i="7" s="1"/>
  <c r="F807" i="7" s="1"/>
  <c r="F806" i="7" s="1"/>
  <c r="F805" i="7" s="1"/>
  <c r="F804" i="7" s="1"/>
  <c r="F803" i="7" s="1"/>
  <c r="D45" i="10" s="1"/>
  <c r="D44" i="10" s="1"/>
  <c r="F15" i="9"/>
  <c r="AD766" i="2"/>
  <c r="AD1048" i="2"/>
  <c r="AD612" i="2"/>
  <c r="J802" i="7"/>
  <c r="F802" i="7"/>
  <c r="AF429" i="2"/>
  <c r="AD429" i="2"/>
  <c r="AD428" i="2" s="1"/>
  <c r="AD424" i="2" s="1"/>
  <c r="F14" i="9" l="1"/>
  <c r="G15" i="9"/>
  <c r="J801" i="7"/>
  <c r="K802" i="7"/>
  <c r="J808" i="7"/>
  <c r="K809" i="7"/>
  <c r="AF435" i="2"/>
  <c r="AG436" i="2"/>
  <c r="AF428" i="2"/>
  <c r="AG429" i="2"/>
  <c r="D86" i="9"/>
  <c r="D85" i="9" s="1"/>
  <c r="D84" i="9" s="1"/>
  <c r="D80" i="9" s="1"/>
  <c r="L802" i="7"/>
  <c r="G802" i="7"/>
  <c r="G801" i="7" s="1"/>
  <c r="G800" i="7" s="1"/>
  <c r="G796" i="7" s="1"/>
  <c r="G767" i="7" s="1"/>
  <c r="F801" i="7"/>
  <c r="F800" i="7" s="1"/>
  <c r="F796" i="7" s="1"/>
  <c r="F86" i="9"/>
  <c r="AF832" i="2"/>
  <c r="AD832" i="2"/>
  <c r="AD831" i="2" s="1"/>
  <c r="AD830" i="2" s="1"/>
  <c r="L801" i="7" l="1"/>
  <c r="M802" i="7"/>
  <c r="F85" i="9"/>
  <c r="G86" i="9"/>
  <c r="F13" i="9"/>
  <c r="G14" i="9"/>
  <c r="J807" i="7"/>
  <c r="K808" i="7"/>
  <c r="J800" i="7"/>
  <c r="K801" i="7"/>
  <c r="AF831" i="2"/>
  <c r="AF830" i="2" s="1"/>
  <c r="AF823" i="2" s="1"/>
  <c r="AF822" i="2" s="1"/>
  <c r="AG832" i="2"/>
  <c r="AF434" i="2"/>
  <c r="AG435" i="2"/>
  <c r="AF424" i="2"/>
  <c r="AG424" i="2" s="1"/>
  <c r="AG428" i="2"/>
  <c r="AD823" i="2"/>
  <c r="AD822" i="2" s="1"/>
  <c r="F12" i="9" l="1"/>
  <c r="G13" i="9"/>
  <c r="F84" i="9"/>
  <c r="G85" i="9"/>
  <c r="L800" i="7"/>
  <c r="M801" i="7"/>
  <c r="J796" i="7"/>
  <c r="K796" i="7" s="1"/>
  <c r="K800" i="7"/>
  <c r="J806" i="7"/>
  <c r="K807" i="7"/>
  <c r="AG831" i="2"/>
  <c r="AF433" i="2"/>
  <c r="AG434" i="2"/>
  <c r="M800" i="7" l="1"/>
  <c r="L796" i="7"/>
  <c r="F80" i="9"/>
  <c r="G80" i="9" s="1"/>
  <c r="G84" i="9"/>
  <c r="F11" i="9"/>
  <c r="G12" i="9"/>
  <c r="J805" i="7"/>
  <c r="K806" i="7"/>
  <c r="AG830" i="2"/>
  <c r="AF432" i="2"/>
  <c r="AG433" i="2"/>
  <c r="J532" i="7"/>
  <c r="F653" i="9" s="1"/>
  <c r="F532" i="7"/>
  <c r="F10" i="9" l="1"/>
  <c r="G10" i="9" s="1"/>
  <c r="G11" i="9"/>
  <c r="F531" i="7"/>
  <c r="D653" i="9"/>
  <c r="D652" i="9" s="1"/>
  <c r="L767" i="7"/>
  <c r="M767" i="7" s="1"/>
  <c r="M796" i="7"/>
  <c r="G653" i="9"/>
  <c r="F652" i="9"/>
  <c r="G652" i="9" s="1"/>
  <c r="J531" i="7"/>
  <c r="K531" i="7" s="1"/>
  <c r="K532" i="7"/>
  <c r="J804" i="7"/>
  <c r="K805" i="7"/>
  <c r="AG822" i="2"/>
  <c r="AG823" i="2"/>
  <c r="AF431" i="2"/>
  <c r="AG431" i="2" s="1"/>
  <c r="AG432" i="2"/>
  <c r="AF989" i="2"/>
  <c r="AG989" i="2" s="1"/>
  <c r="AD989" i="2"/>
  <c r="G412" i="7"/>
  <c r="J803" i="7" l="1"/>
  <c r="K804" i="7"/>
  <c r="J90" i="7"/>
  <c r="F90" i="7"/>
  <c r="F89" i="7" s="1"/>
  <c r="AF536" i="2"/>
  <c r="AG536" i="2" s="1"/>
  <c r="AD536" i="2"/>
  <c r="AD247" i="2"/>
  <c r="H356" i="7" s="1"/>
  <c r="H355" i="7" l="1"/>
  <c r="H354" i="7" s="1"/>
  <c r="H353" i="7" s="1"/>
  <c r="H352" i="7" s="1"/>
  <c r="H351" i="7" s="1"/>
  <c r="H350" i="7" s="1"/>
  <c r="E28" i="10" s="1"/>
  <c r="E271" i="9"/>
  <c r="E270" i="9" s="1"/>
  <c r="E269" i="9" s="1"/>
  <c r="E268" i="9" s="1"/>
  <c r="E259" i="9" s="1"/>
  <c r="E258" i="9" s="1"/>
  <c r="F436" i="9"/>
  <c r="K90" i="7"/>
  <c r="F45" i="10"/>
  <c r="K803" i="7"/>
  <c r="J89" i="7"/>
  <c r="K89" i="7" s="1"/>
  <c r="D436" i="9"/>
  <c r="D435" i="9" s="1"/>
  <c r="AD910" i="2"/>
  <c r="AD909" i="2" s="1"/>
  <c r="AD899" i="2" s="1"/>
  <c r="L394" i="7"/>
  <c r="G417" i="7"/>
  <c r="G416" i="7" s="1"/>
  <c r="J418" i="7"/>
  <c r="AF910" i="2"/>
  <c r="J569" i="7"/>
  <c r="K569" i="7" s="1"/>
  <c r="F569" i="7"/>
  <c r="D148" i="9" s="1"/>
  <c r="D147" i="9" s="1"/>
  <c r="D146" i="9" s="1"/>
  <c r="AF657" i="2"/>
  <c r="AD657" i="2"/>
  <c r="AD656" i="2" s="1"/>
  <c r="AD655" i="2" s="1"/>
  <c r="L393" i="7" l="1"/>
  <c r="M394" i="7"/>
  <c r="F44" i="10"/>
  <c r="G44" i="10" s="1"/>
  <c r="G45" i="10"/>
  <c r="F435" i="9"/>
  <c r="G435" i="9" s="1"/>
  <c r="G436" i="9"/>
  <c r="F370" i="9"/>
  <c r="K418" i="7"/>
  <c r="AF909" i="2"/>
  <c r="AG910" i="2"/>
  <c r="AF656" i="2"/>
  <c r="AG657" i="2"/>
  <c r="F418" i="7"/>
  <c r="D370" i="9" s="1"/>
  <c r="D369" i="9" s="1"/>
  <c r="D368" i="9" s="1"/>
  <c r="J417" i="7"/>
  <c r="G569" i="7"/>
  <c r="G568" i="7" s="1"/>
  <c r="G567" i="7" s="1"/>
  <c r="G566" i="7" s="1"/>
  <c r="F568" i="7"/>
  <c r="F567" i="7" s="1"/>
  <c r="F566" i="7" s="1"/>
  <c r="J568" i="7"/>
  <c r="F148" i="9"/>
  <c r="J449" i="7"/>
  <c r="F449" i="7"/>
  <c r="D281" i="9" s="1"/>
  <c r="D280" i="9" s="1"/>
  <c r="AF295" i="2"/>
  <c r="AG295" i="2" s="1"/>
  <c r="AD295" i="2"/>
  <c r="F369" i="9" l="1"/>
  <c r="G370" i="9"/>
  <c r="F147" i="9"/>
  <c r="G148" i="9"/>
  <c r="L392" i="7"/>
  <c r="M392" i="7" s="1"/>
  <c r="M393" i="7"/>
  <c r="J567" i="7"/>
  <c r="K568" i="7"/>
  <c r="J416" i="7"/>
  <c r="K416" i="7" s="1"/>
  <c r="K417" i="7"/>
  <c r="J448" i="7"/>
  <c r="K448" i="7" s="1"/>
  <c r="K449" i="7"/>
  <c r="AF655" i="2"/>
  <c r="AG655" i="2" s="1"/>
  <c r="AG656" i="2"/>
  <c r="AF899" i="2"/>
  <c r="AG909" i="2"/>
  <c r="F417" i="7"/>
  <c r="F416" i="7" s="1"/>
  <c r="F448" i="7"/>
  <c r="F281" i="9"/>
  <c r="AD313" i="2"/>
  <c r="J788" i="7"/>
  <c r="F788" i="7"/>
  <c r="D72" i="9" s="1"/>
  <c r="D71" i="9" s="1"/>
  <c r="D70" i="9" s="1"/>
  <c r="D69" i="9" s="1"/>
  <c r="AF415" i="2"/>
  <c r="AD415" i="2"/>
  <c r="AD414" i="2" s="1"/>
  <c r="AD413" i="2" s="1"/>
  <c r="J576" i="7"/>
  <c r="K576" i="7" s="1"/>
  <c r="AF664" i="2"/>
  <c r="AD664" i="2"/>
  <c r="AD663" i="2" s="1"/>
  <c r="J659" i="7"/>
  <c r="F659" i="7"/>
  <c r="D168" i="9" s="1"/>
  <c r="D167" i="9" s="1"/>
  <c r="D166" i="9" s="1"/>
  <c r="AF738" i="2"/>
  <c r="AD738" i="2"/>
  <c r="AD737" i="2" s="1"/>
  <c r="J679" i="7"/>
  <c r="F679" i="7"/>
  <c r="F678" i="7" s="1"/>
  <c r="F677" i="7" s="1"/>
  <c r="F676" i="7" s="1"/>
  <c r="F675" i="7" s="1"/>
  <c r="F674" i="7" s="1"/>
  <c r="AF758" i="2"/>
  <c r="AD758" i="2"/>
  <c r="AD757" i="2" s="1"/>
  <c r="AD756" i="2" s="1"/>
  <c r="AD755" i="2" s="1"/>
  <c r="AD754" i="2" s="1"/>
  <c r="F146" i="9" l="1"/>
  <c r="G146" i="9" s="1"/>
  <c r="G147" i="9"/>
  <c r="F280" i="9"/>
  <c r="G280" i="9" s="1"/>
  <c r="G281" i="9"/>
  <c r="F368" i="9"/>
  <c r="G368" i="9" s="1"/>
  <c r="G369" i="9"/>
  <c r="F72" i="9"/>
  <c r="K788" i="7"/>
  <c r="F168" i="9"/>
  <c r="K659" i="7"/>
  <c r="J678" i="7"/>
  <c r="K679" i="7"/>
  <c r="J566" i="7"/>
  <c r="K566" i="7" s="1"/>
  <c r="K567" i="7"/>
  <c r="AG899" i="2"/>
  <c r="AF737" i="2"/>
  <c r="AG737" i="2" s="1"/>
  <c r="AG738" i="2"/>
  <c r="AF663" i="2"/>
  <c r="AG663" i="2" s="1"/>
  <c r="AG664" i="2"/>
  <c r="AF757" i="2"/>
  <c r="AG758" i="2"/>
  <c r="AF414" i="2"/>
  <c r="AG415" i="2"/>
  <c r="F105" i="9"/>
  <c r="J787" i="7"/>
  <c r="F787" i="7"/>
  <c r="F786" i="7" s="1"/>
  <c r="F785" i="7" s="1"/>
  <c r="F576" i="7"/>
  <c r="J575" i="7"/>
  <c r="J658" i="7"/>
  <c r="F658" i="7"/>
  <c r="F657" i="7" s="1"/>
  <c r="F71" i="9" l="1"/>
  <c r="G72" i="9"/>
  <c r="F104" i="9"/>
  <c r="G105" i="9"/>
  <c r="F167" i="9"/>
  <c r="G168" i="9"/>
  <c r="J786" i="7"/>
  <c r="K787" i="7"/>
  <c r="J657" i="7"/>
  <c r="K657" i="7" s="1"/>
  <c r="K658" i="7"/>
  <c r="J677" i="7"/>
  <c r="K678" i="7"/>
  <c r="J574" i="7"/>
  <c r="K574" i="7" s="1"/>
  <c r="K575" i="7"/>
  <c r="AF756" i="2"/>
  <c r="AG757" i="2"/>
  <c r="AF413" i="2"/>
  <c r="AG413" i="2" s="1"/>
  <c r="AG414" i="2"/>
  <c r="D105" i="9"/>
  <c r="D104" i="9" s="1"/>
  <c r="D103" i="9" s="1"/>
  <c r="F575" i="7"/>
  <c r="F574" i="7" s="1"/>
  <c r="F103" i="9" l="1"/>
  <c r="G103" i="9" s="1"/>
  <c r="G104" i="9"/>
  <c r="F166" i="9"/>
  <c r="G166" i="9" s="1"/>
  <c r="G167" i="9"/>
  <c r="F70" i="9"/>
  <c r="G71" i="9"/>
  <c r="J676" i="7"/>
  <c r="K677" i="7"/>
  <c r="J785" i="7"/>
  <c r="K785" i="7" s="1"/>
  <c r="K786" i="7"/>
  <c r="AF755" i="2"/>
  <c r="AG756" i="2"/>
  <c r="J121" i="7"/>
  <c r="K121" i="7" s="1"/>
  <c r="J469" i="7"/>
  <c r="F580" i="9" s="1"/>
  <c r="G580" i="9" s="1"/>
  <c r="F469" i="7"/>
  <c r="F468" i="7" s="1"/>
  <c r="AF307" i="2"/>
  <c r="AD307" i="2"/>
  <c r="AD306" i="2" s="1"/>
  <c r="AD305" i="2" s="1"/>
  <c r="AD304" i="2" s="1"/>
  <c r="F69" i="9" l="1"/>
  <c r="G69" i="9" s="1"/>
  <c r="G70" i="9"/>
  <c r="F579" i="9"/>
  <c r="G579" i="9" s="1"/>
  <c r="J468" i="7"/>
  <c r="K468" i="7" s="1"/>
  <c r="K469" i="7"/>
  <c r="J675" i="7"/>
  <c r="K676" i="7"/>
  <c r="AF754" i="2"/>
  <c r="AG755" i="2"/>
  <c r="AF306" i="2"/>
  <c r="AG307" i="2"/>
  <c r="D580" i="9"/>
  <c r="D579" i="9" s="1"/>
  <c r="J644" i="7"/>
  <c r="F644" i="7"/>
  <c r="D95" i="9" s="1"/>
  <c r="D94" i="9" s="1"/>
  <c r="D93" i="9" s="1"/>
  <c r="D92" i="9" s="1"/>
  <c r="AF324" i="2"/>
  <c r="AD324" i="2"/>
  <c r="AD323" i="2" s="1"/>
  <c r="AD322" i="2" s="1"/>
  <c r="AF690" i="2"/>
  <c r="AD690" i="2"/>
  <c r="AD689" i="2" s="1"/>
  <c r="J643" i="7" l="1"/>
  <c r="K644" i="7"/>
  <c r="J674" i="7"/>
  <c r="K674" i="7" s="1"/>
  <c r="K675" i="7"/>
  <c r="AG754" i="2"/>
  <c r="AF689" i="2"/>
  <c r="AG689" i="2" s="1"/>
  <c r="AG690" i="2"/>
  <c r="AF323" i="2"/>
  <c r="AG324" i="2"/>
  <c r="AF305" i="2"/>
  <c r="AG306" i="2"/>
  <c r="J602" i="7"/>
  <c r="F602" i="7"/>
  <c r="F95" i="9"/>
  <c r="F643" i="7"/>
  <c r="F642" i="7" s="1"/>
  <c r="F641" i="7" s="1"/>
  <c r="F94" i="9" l="1"/>
  <c r="G95" i="9"/>
  <c r="D142" i="9"/>
  <c r="D141" i="9" s="1"/>
  <c r="D140" i="9" s="1"/>
  <c r="F142" i="9"/>
  <c r="K602" i="7"/>
  <c r="J642" i="7"/>
  <c r="K643" i="7"/>
  <c r="AF322" i="2"/>
  <c r="AG322" i="2" s="1"/>
  <c r="AG323" i="2"/>
  <c r="AF304" i="2"/>
  <c r="AG304" i="2" s="1"/>
  <c r="AG305" i="2"/>
  <c r="J202" i="7"/>
  <c r="F202" i="7"/>
  <c r="D710" i="9" s="1"/>
  <c r="D709" i="9" s="1"/>
  <c r="D708" i="9" s="1"/>
  <c r="AF125" i="2"/>
  <c r="AD125" i="2"/>
  <c r="AD124" i="2" s="1"/>
  <c r="F141" i="9" l="1"/>
  <c r="G142" i="9"/>
  <c r="F93" i="9"/>
  <c r="G94" i="9"/>
  <c r="F710" i="9"/>
  <c r="K202" i="7"/>
  <c r="J641" i="7"/>
  <c r="K641" i="7" s="1"/>
  <c r="K642" i="7"/>
  <c r="AF124" i="2"/>
  <c r="AG124" i="2" s="1"/>
  <c r="AG125" i="2"/>
  <c r="J201" i="7"/>
  <c r="F201" i="7"/>
  <c r="F200" i="7" s="1"/>
  <c r="F709" i="9" l="1"/>
  <c r="G710" i="9"/>
  <c r="F92" i="9"/>
  <c r="G92" i="9" s="1"/>
  <c r="G93" i="9"/>
  <c r="F140" i="9"/>
  <c r="G140" i="9" s="1"/>
  <c r="G141" i="9"/>
  <c r="J200" i="7"/>
  <c r="K200" i="7" s="1"/>
  <c r="K201" i="7"/>
  <c r="AD854" i="2"/>
  <c r="H313" i="7" s="1"/>
  <c r="J840" i="7"/>
  <c r="F840" i="7"/>
  <c r="D327" i="9" s="1"/>
  <c r="D326" i="9" s="1"/>
  <c r="D325" i="9" s="1"/>
  <c r="AF1019" i="2"/>
  <c r="AD1019" i="2"/>
  <c r="AD1018" i="2" s="1"/>
  <c r="H312" i="7" l="1"/>
  <c r="H311" i="7" s="1"/>
  <c r="E527" i="9"/>
  <c r="E526" i="9" s="1"/>
  <c r="E525" i="9" s="1"/>
  <c r="F708" i="9"/>
  <c r="G708" i="9" s="1"/>
  <c r="G709" i="9"/>
  <c r="F327" i="9"/>
  <c r="K840" i="7"/>
  <c r="AF1018" i="2"/>
  <c r="AG1018" i="2" s="1"/>
  <c r="AG1019" i="2"/>
  <c r="F839" i="7"/>
  <c r="F838" i="7" s="1"/>
  <c r="J839" i="7"/>
  <c r="F326" i="9" l="1"/>
  <c r="G327" i="9"/>
  <c r="J838" i="7"/>
  <c r="K838" i="7" s="1"/>
  <c r="K839" i="7"/>
  <c r="J488" i="7"/>
  <c r="AD948" i="2"/>
  <c r="AD947" i="2" s="1"/>
  <c r="AD946" i="2" s="1"/>
  <c r="AF948" i="2"/>
  <c r="F325" i="9" l="1"/>
  <c r="G325" i="9" s="1"/>
  <c r="G326" i="9"/>
  <c r="F599" i="9"/>
  <c r="K488" i="7"/>
  <c r="AF947" i="2"/>
  <c r="AG948" i="2"/>
  <c r="J487" i="7"/>
  <c r="F488" i="7"/>
  <c r="J391" i="7"/>
  <c r="F391" i="7"/>
  <c r="F390" i="7" s="1"/>
  <c r="F389" i="7" s="1"/>
  <c r="F388" i="7" s="1"/>
  <c r="F387" i="7" s="1"/>
  <c r="F386" i="7" s="1"/>
  <c r="AF883" i="2"/>
  <c r="AD883" i="2"/>
  <c r="AD882" i="2" s="1"/>
  <c r="AD881" i="2" s="1"/>
  <c r="AD880" i="2" s="1"/>
  <c r="AD879" i="2" s="1"/>
  <c r="AD878" i="2"/>
  <c r="H379" i="7" s="1"/>
  <c r="F598" i="9" l="1"/>
  <c r="G599" i="9"/>
  <c r="H378" i="7"/>
  <c r="H377" i="7" s="1"/>
  <c r="H376" i="7" s="1"/>
  <c r="E635" i="9"/>
  <c r="E634" i="9" s="1"/>
  <c r="E633" i="9" s="1"/>
  <c r="E632" i="9" s="1"/>
  <c r="J486" i="7"/>
  <c r="K487" i="7"/>
  <c r="J390" i="7"/>
  <c r="K391" i="7"/>
  <c r="AF946" i="2"/>
  <c r="AG946" i="2" s="1"/>
  <c r="AG947" i="2"/>
  <c r="AF882" i="2"/>
  <c r="AG883" i="2"/>
  <c r="D665" i="9"/>
  <c r="D664" i="9" s="1"/>
  <c r="D663" i="9" s="1"/>
  <c r="D662" i="9" s="1"/>
  <c r="D661" i="9" s="1"/>
  <c r="D660" i="9" s="1"/>
  <c r="F487" i="7"/>
  <c r="F486" i="7" s="1"/>
  <c r="F485" i="7" s="1"/>
  <c r="D599" i="9"/>
  <c r="D598" i="9" s="1"/>
  <c r="D597" i="9" s="1"/>
  <c r="D596" i="9" s="1"/>
  <c r="F665" i="9"/>
  <c r="F664" i="9" l="1"/>
  <c r="G665" i="9"/>
  <c r="F597" i="9"/>
  <c r="G598" i="9"/>
  <c r="J389" i="7"/>
  <c r="K390" i="7"/>
  <c r="J485" i="7"/>
  <c r="K485" i="7" s="1"/>
  <c r="K486" i="7"/>
  <c r="AF881" i="2"/>
  <c r="AG882" i="2"/>
  <c r="F610" i="9"/>
  <c r="J497" i="7"/>
  <c r="F497" i="7"/>
  <c r="F496" i="7" s="1"/>
  <c r="F495" i="7" s="1"/>
  <c r="AF957" i="2"/>
  <c r="AD957" i="2"/>
  <c r="AD956" i="2" s="1"/>
  <c r="J500" i="7"/>
  <c r="F611" i="9" s="1"/>
  <c r="F500" i="7"/>
  <c r="AF960" i="2"/>
  <c r="AD960" i="2"/>
  <c r="AD959" i="2" s="1"/>
  <c r="F499" i="7" l="1"/>
  <c r="F498" i="7" s="1"/>
  <c r="E611" i="9"/>
  <c r="E610" i="9" s="1"/>
  <c r="E609" i="9" s="1"/>
  <c r="F596" i="9"/>
  <c r="G596" i="9" s="1"/>
  <c r="G597" i="9"/>
  <c r="G611" i="9"/>
  <c r="F609" i="9"/>
  <c r="G609" i="9" s="1"/>
  <c r="G610" i="9"/>
  <c r="F663" i="9"/>
  <c r="G664" i="9"/>
  <c r="J496" i="7"/>
  <c r="K497" i="7"/>
  <c r="J499" i="7"/>
  <c r="K500" i="7"/>
  <c r="J388" i="7"/>
  <c r="K389" i="7"/>
  <c r="AF959" i="2"/>
  <c r="AG959" i="2" s="1"/>
  <c r="AG960" i="2"/>
  <c r="AF956" i="2"/>
  <c r="AG956" i="2" s="1"/>
  <c r="AG957" i="2"/>
  <c r="AF880" i="2"/>
  <c r="AG881" i="2"/>
  <c r="D611" i="9"/>
  <c r="D610" i="9" s="1"/>
  <c r="D609" i="9" s="1"/>
  <c r="F608" i="9"/>
  <c r="D608" i="9"/>
  <c r="D607" i="9" s="1"/>
  <c r="D606" i="9" s="1"/>
  <c r="F595" i="7"/>
  <c r="G595" i="7" s="1"/>
  <c r="J595" i="7"/>
  <c r="AF683" i="2"/>
  <c r="AD683" i="2"/>
  <c r="AD682" i="2" s="1"/>
  <c r="F662" i="9" l="1"/>
  <c r="G663" i="9"/>
  <c r="F607" i="9"/>
  <c r="G608" i="9"/>
  <c r="F135" i="9"/>
  <c r="K595" i="7"/>
  <c r="J498" i="7"/>
  <c r="K498" i="7" s="1"/>
  <c r="K499" i="7"/>
  <c r="J387" i="7"/>
  <c r="K388" i="7"/>
  <c r="J495" i="7"/>
  <c r="K495" i="7" s="1"/>
  <c r="K496" i="7"/>
  <c r="AF682" i="2"/>
  <c r="AG682" i="2" s="1"/>
  <c r="AG683" i="2"/>
  <c r="AF879" i="2"/>
  <c r="AG879" i="2" s="1"/>
  <c r="AG880" i="2"/>
  <c r="L595" i="7"/>
  <c r="D135" i="9"/>
  <c r="D134" i="9" s="1"/>
  <c r="D133" i="9" s="1"/>
  <c r="F594" i="7"/>
  <c r="F593" i="7" s="1"/>
  <c r="J594" i="7"/>
  <c r="G594" i="7"/>
  <c r="G593" i="7" s="1"/>
  <c r="AF75" i="2"/>
  <c r="AG75" i="2" s="1"/>
  <c r="AD75" i="2"/>
  <c r="AF73" i="2"/>
  <c r="AG73" i="2" s="1"/>
  <c r="AD73" i="2"/>
  <c r="AD581" i="2"/>
  <c r="AD579" i="2"/>
  <c r="F606" i="9" l="1"/>
  <c r="G606" i="9" s="1"/>
  <c r="G607" i="9"/>
  <c r="L594" i="7"/>
  <c r="M595" i="7"/>
  <c r="F134" i="9"/>
  <c r="G135" i="9"/>
  <c r="F661" i="9"/>
  <c r="G662" i="9"/>
  <c r="J386" i="7"/>
  <c r="K386" i="7" s="1"/>
  <c r="K387" i="7"/>
  <c r="J593" i="7"/>
  <c r="K593" i="7" s="1"/>
  <c r="K594" i="7"/>
  <c r="F136" i="7"/>
  <c r="F138" i="7"/>
  <c r="E397" i="9"/>
  <c r="E396" i="9" s="1"/>
  <c r="AD72" i="2"/>
  <c r="AD71" i="2" s="1"/>
  <c r="AF72" i="2"/>
  <c r="J503" i="7"/>
  <c r="F503" i="7"/>
  <c r="D614" i="9" s="1"/>
  <c r="D613" i="9" s="1"/>
  <c r="D612" i="9" s="1"/>
  <c r="AF963" i="2"/>
  <c r="AD963" i="2"/>
  <c r="AD962" i="2" s="1"/>
  <c r="F133" i="9" l="1"/>
  <c r="G133" i="9" s="1"/>
  <c r="G134" i="9"/>
  <c r="F660" i="9"/>
  <c r="G660" i="9" s="1"/>
  <c r="G661" i="9"/>
  <c r="L593" i="7"/>
  <c r="M593" i="7" s="1"/>
  <c r="M594" i="7"/>
  <c r="K136" i="7"/>
  <c r="E395" i="9"/>
  <c r="E394" i="9" s="1"/>
  <c r="F614" i="9"/>
  <c r="K503" i="7"/>
  <c r="I136" i="7"/>
  <c r="I135" i="7" s="1"/>
  <c r="H135" i="7"/>
  <c r="I138" i="7"/>
  <c r="I137" i="7" s="1"/>
  <c r="H137" i="7"/>
  <c r="AF962" i="2"/>
  <c r="AG962" i="2" s="1"/>
  <c r="AG963" i="2"/>
  <c r="AF71" i="2"/>
  <c r="AG71" i="2" s="1"/>
  <c r="AG72" i="2"/>
  <c r="F502" i="7"/>
  <c r="F501" i="7" s="1"/>
  <c r="J502" i="7"/>
  <c r="J626" i="7"/>
  <c r="F626" i="7"/>
  <c r="F625" i="7" s="1"/>
  <c r="F624" i="7" s="1"/>
  <c r="F623" i="7" s="1"/>
  <c r="F622" i="7" s="1"/>
  <c r="F621" i="7" s="1"/>
  <c r="AF719" i="2"/>
  <c r="AD719" i="2"/>
  <c r="AD718" i="2" s="1"/>
  <c r="AD717" i="2" s="1"/>
  <c r="AD716" i="2" s="1"/>
  <c r="AD715" i="2" s="1"/>
  <c r="E393" i="9" l="1"/>
  <c r="E392" i="9" s="1"/>
  <c r="E378" i="9" s="1"/>
  <c r="E377" i="9" s="1"/>
  <c r="F613" i="9"/>
  <c r="G614" i="9"/>
  <c r="J625" i="7"/>
  <c r="K626" i="7"/>
  <c r="J501" i="7"/>
  <c r="K501" i="7" s="1"/>
  <c r="K502" i="7"/>
  <c r="H134" i="7"/>
  <c r="H133" i="7" s="1"/>
  <c r="H124" i="7" s="1"/>
  <c r="H123" i="7" s="1"/>
  <c r="I134" i="7"/>
  <c r="I133" i="7" s="1"/>
  <c r="I124" i="7" s="1"/>
  <c r="I123" i="7" s="1"/>
  <c r="AF718" i="2"/>
  <c r="AG719" i="2"/>
  <c r="F612" i="9" l="1"/>
  <c r="G612" i="9" s="1"/>
  <c r="G613" i="9"/>
  <c r="J624" i="7"/>
  <c r="K625" i="7"/>
  <c r="AF717" i="2"/>
  <c r="AG718" i="2"/>
  <c r="J412" i="7"/>
  <c r="K412" i="7" s="1"/>
  <c r="AD904" i="2"/>
  <c r="AF904" i="2"/>
  <c r="AG904" i="2" s="1"/>
  <c r="J623" i="7" l="1"/>
  <c r="K624" i="7"/>
  <c r="AF716" i="2"/>
  <c r="AG717" i="2"/>
  <c r="AF903" i="2"/>
  <c r="AG903" i="2" s="1"/>
  <c r="AD903" i="2"/>
  <c r="F412" i="7"/>
  <c r="J271" i="7"/>
  <c r="F271" i="7"/>
  <c r="D321" i="9" s="1"/>
  <c r="D320" i="9" s="1"/>
  <c r="AF191" i="2"/>
  <c r="AG191" i="2" s="1"/>
  <c r="AD191" i="2"/>
  <c r="J270" i="7" l="1"/>
  <c r="K270" i="7" s="1"/>
  <c r="K271" i="7"/>
  <c r="J622" i="7"/>
  <c r="K623" i="7"/>
  <c r="AF715" i="2"/>
  <c r="AG715" i="2" s="1"/>
  <c r="AG716" i="2"/>
  <c r="F270" i="7"/>
  <c r="F321" i="9"/>
  <c r="F320" i="9" l="1"/>
  <c r="G320" i="9" s="1"/>
  <c r="G321" i="9"/>
  <c r="J621" i="7"/>
  <c r="K621" i="7" s="1"/>
  <c r="K622" i="7"/>
  <c r="J616" i="7"/>
  <c r="G615" i="7"/>
  <c r="G614" i="7" s="1"/>
  <c r="G613" i="7" s="1"/>
  <c r="AF709" i="2"/>
  <c r="F615" i="7"/>
  <c r="F614" i="7" s="1"/>
  <c r="F613" i="7" s="1"/>
  <c r="J615" i="7" l="1"/>
  <c r="K616" i="7"/>
  <c r="AF708" i="2"/>
  <c r="AG709" i="2"/>
  <c r="AD709" i="2"/>
  <c r="AD708" i="2" s="1"/>
  <c r="AD707" i="2" s="1"/>
  <c r="F159" i="9"/>
  <c r="D159" i="9"/>
  <c r="D158" i="9" s="1"/>
  <c r="D157" i="9" s="1"/>
  <c r="D156" i="9" s="1"/>
  <c r="AD394" i="2"/>
  <c r="J411" i="7"/>
  <c r="K411" i="7" s="1"/>
  <c r="J766" i="7"/>
  <c r="AF393" i="2"/>
  <c r="F158" i="9" l="1"/>
  <c r="G159" i="9"/>
  <c r="F50" i="9"/>
  <c r="J614" i="7"/>
  <c r="K615" i="7"/>
  <c r="F766" i="7"/>
  <c r="D50" i="9" s="1"/>
  <c r="D49" i="9" s="1"/>
  <c r="D48" i="9" s="1"/>
  <c r="D47" i="9" s="1"/>
  <c r="H766" i="7"/>
  <c r="AF707" i="2"/>
  <c r="AG707" i="2" s="1"/>
  <c r="AG708" i="2"/>
  <c r="AF392" i="2"/>
  <c r="AG393" i="2"/>
  <c r="J410" i="7"/>
  <c r="AD393" i="2"/>
  <c r="AD392" i="2" s="1"/>
  <c r="AD391" i="2" s="1"/>
  <c r="G411" i="7"/>
  <c r="F364" i="9"/>
  <c r="G765" i="7"/>
  <c r="G764" i="7" s="1"/>
  <c r="G763" i="7" s="1"/>
  <c r="J765" i="7"/>
  <c r="J851" i="7"/>
  <c r="L851" i="7" s="1"/>
  <c r="F851" i="7"/>
  <c r="D338" i="9" s="1"/>
  <c r="D337" i="9" s="1"/>
  <c r="D336" i="9" s="1"/>
  <c r="AF621" i="2"/>
  <c r="AD621" i="2"/>
  <c r="AD620" i="2" s="1"/>
  <c r="J589" i="7"/>
  <c r="K589" i="7" s="1"/>
  <c r="F589" i="7"/>
  <c r="J565" i="7"/>
  <c r="F565" i="7"/>
  <c r="F564" i="7" s="1"/>
  <c r="F563" i="7" s="1"/>
  <c r="AF677" i="2"/>
  <c r="AD677" i="2"/>
  <c r="AD676" i="2" s="1"/>
  <c r="AD653" i="2"/>
  <c r="AD652" i="2" s="1"/>
  <c r="AF653" i="2"/>
  <c r="J612" i="7"/>
  <c r="F612" i="7"/>
  <c r="F611" i="7" s="1"/>
  <c r="F610" i="7" s="1"/>
  <c r="AF705" i="2"/>
  <c r="AD705" i="2"/>
  <c r="AD704" i="2" s="1"/>
  <c r="F765" i="7" l="1"/>
  <c r="F764" i="7" s="1"/>
  <c r="F763" i="7" s="1"/>
  <c r="F363" i="9"/>
  <c r="G363" i="9" s="1"/>
  <c r="G364" i="9"/>
  <c r="F49" i="9"/>
  <c r="H765" i="7"/>
  <c r="H764" i="7" s="1"/>
  <c r="H763" i="7" s="1"/>
  <c r="E50" i="9"/>
  <c r="E49" i="9" s="1"/>
  <c r="E48" i="9" s="1"/>
  <c r="E47" i="9" s="1"/>
  <c r="F157" i="9"/>
  <c r="G158" i="9"/>
  <c r="J406" i="7"/>
  <c r="K406" i="7" s="1"/>
  <c r="K410" i="7"/>
  <c r="J764" i="7"/>
  <c r="K851" i="7"/>
  <c r="L565" i="7"/>
  <c r="K565" i="7"/>
  <c r="J613" i="7"/>
  <c r="K613" i="7" s="1"/>
  <c r="K614" i="7"/>
  <c r="K766" i="7"/>
  <c r="F155" i="9"/>
  <c r="K612" i="7"/>
  <c r="AF676" i="2"/>
  <c r="AG676" i="2" s="1"/>
  <c r="AG677" i="2"/>
  <c r="AF704" i="2"/>
  <c r="AG704" i="2" s="1"/>
  <c r="AG705" i="2"/>
  <c r="AF620" i="2"/>
  <c r="AG620" i="2" s="1"/>
  <c r="AG621" i="2"/>
  <c r="AF652" i="2"/>
  <c r="AG652" i="2" s="1"/>
  <c r="AG653" i="2"/>
  <c r="AF391" i="2"/>
  <c r="AG391" i="2" s="1"/>
  <c r="AG392" i="2"/>
  <c r="G410" i="7"/>
  <c r="G406" i="7" s="1"/>
  <c r="F362" i="9"/>
  <c r="F411" i="7"/>
  <c r="D364" i="9"/>
  <c r="D363" i="9" s="1"/>
  <c r="G565" i="7"/>
  <c r="G564" i="7" s="1"/>
  <c r="G563" i="7" s="1"/>
  <c r="G851" i="7"/>
  <c r="G850" i="7" s="1"/>
  <c r="G849" i="7" s="1"/>
  <c r="F850" i="7"/>
  <c r="F849" i="7" s="1"/>
  <c r="D129" i="9"/>
  <c r="D128" i="9" s="1"/>
  <c r="D127" i="9" s="1"/>
  <c r="F338" i="9"/>
  <c r="F129" i="9"/>
  <c r="J850" i="7"/>
  <c r="G589" i="7"/>
  <c r="G588" i="7" s="1"/>
  <c r="G587" i="7" s="1"/>
  <c r="F588" i="7"/>
  <c r="F587" i="7" s="1"/>
  <c r="G612" i="7"/>
  <c r="G611" i="7" s="1"/>
  <c r="G610" i="7" s="1"/>
  <c r="G606" i="7" s="1"/>
  <c r="L589" i="7"/>
  <c r="J588" i="7"/>
  <c r="J564" i="7"/>
  <c r="D155" i="9"/>
  <c r="D154" i="9" s="1"/>
  <c r="D153" i="9" s="1"/>
  <c r="J611" i="7"/>
  <c r="L612" i="7"/>
  <c r="AD103" i="2"/>
  <c r="E512" i="9" s="1"/>
  <c r="E511" i="9" s="1"/>
  <c r="E510" i="9" s="1"/>
  <c r="E509" i="9" s="1"/>
  <c r="E504" i="9" s="1"/>
  <c r="E477" i="9" s="1"/>
  <c r="F358" i="9" l="1"/>
  <c r="G358" i="9" s="1"/>
  <c r="G362" i="9"/>
  <c r="F156" i="9"/>
  <c r="G156" i="9" s="1"/>
  <c r="G157" i="9"/>
  <c r="F154" i="9"/>
  <c r="G155" i="9"/>
  <c r="G50" i="9"/>
  <c r="L564" i="7"/>
  <c r="M565" i="7"/>
  <c r="F48" i="9"/>
  <c r="G49" i="9"/>
  <c r="F337" i="9"/>
  <c r="G338" i="9"/>
  <c r="L588" i="7"/>
  <c r="M589" i="7"/>
  <c r="F128" i="9"/>
  <c r="G129" i="9"/>
  <c r="L850" i="7"/>
  <c r="M851" i="7"/>
  <c r="L611" i="7"/>
  <c r="M612" i="7"/>
  <c r="K765" i="7"/>
  <c r="J610" i="7"/>
  <c r="K610" i="7" s="1"/>
  <c r="K611" i="7"/>
  <c r="J763" i="7"/>
  <c r="K763" i="7" s="1"/>
  <c r="K764" i="7"/>
  <c r="J849" i="7"/>
  <c r="K849" i="7" s="1"/>
  <c r="K850" i="7"/>
  <c r="J563" i="7"/>
  <c r="K563" i="7" s="1"/>
  <c r="K564" i="7"/>
  <c r="J587" i="7"/>
  <c r="K587" i="7" s="1"/>
  <c r="K588" i="7"/>
  <c r="I179" i="7"/>
  <c r="I178" i="7" s="1"/>
  <c r="I177" i="7" s="1"/>
  <c r="I176" i="7" s="1"/>
  <c r="I175" i="7" s="1"/>
  <c r="I174" i="7" s="1"/>
  <c r="I122" i="7" s="1"/>
  <c r="I11" i="7" s="1"/>
  <c r="I892" i="7" s="1"/>
  <c r="H178" i="7"/>
  <c r="H177" i="7" s="1"/>
  <c r="H176" i="7" s="1"/>
  <c r="H175" i="7" s="1"/>
  <c r="H174" i="7" s="1"/>
  <c r="D362" i="9"/>
  <c r="D358" i="9" s="1"/>
  <c r="F410" i="7"/>
  <c r="F406" i="7" s="1"/>
  <c r="F47" i="9" l="1"/>
  <c r="G47" i="9" s="1"/>
  <c r="G48" i="9"/>
  <c r="F153" i="9"/>
  <c r="G153" i="9" s="1"/>
  <c r="G154" i="9"/>
  <c r="F336" i="9"/>
  <c r="G336" i="9" s="1"/>
  <c r="G337" i="9"/>
  <c r="F127" i="9"/>
  <c r="G127" i="9" s="1"/>
  <c r="G128" i="9"/>
  <c r="L610" i="7"/>
  <c r="M611" i="7"/>
  <c r="L587" i="7"/>
  <c r="M587" i="7" s="1"/>
  <c r="M588" i="7"/>
  <c r="L563" i="7"/>
  <c r="M563" i="7" s="1"/>
  <c r="M564" i="7"/>
  <c r="L849" i="7"/>
  <c r="M849" i="7" s="1"/>
  <c r="M850" i="7"/>
  <c r="J460" i="7"/>
  <c r="F460" i="7"/>
  <c r="F459" i="7" s="1"/>
  <c r="F458" i="7" s="1"/>
  <c r="F457" i="7" s="1"/>
  <c r="F456" i="7" s="1"/>
  <c r="L606" i="7" l="1"/>
  <c r="M606" i="7" s="1"/>
  <c r="M610" i="7"/>
  <c r="J459" i="7"/>
  <c r="K460" i="7"/>
  <c r="F572" i="9"/>
  <c r="D572" i="9"/>
  <c r="D571" i="9" s="1"/>
  <c r="D570" i="9" s="1"/>
  <c r="F197" i="7"/>
  <c r="F196" i="7" s="1"/>
  <c r="J197" i="7"/>
  <c r="F571" i="9" l="1"/>
  <c r="G572" i="9"/>
  <c r="J196" i="7"/>
  <c r="K196" i="7" s="1"/>
  <c r="K197" i="7"/>
  <c r="J458" i="7"/>
  <c r="K459" i="7"/>
  <c r="D569" i="9"/>
  <c r="D568" i="9" s="1"/>
  <c r="F570" i="9" l="1"/>
  <c r="G571" i="9"/>
  <c r="J457" i="7"/>
  <c r="K458" i="7"/>
  <c r="AD939" i="2"/>
  <c r="H477" i="7" l="1"/>
  <c r="H476" i="7" s="1"/>
  <c r="E589" i="9"/>
  <c r="E588" i="9" s="1"/>
  <c r="E587" i="9" s="1"/>
  <c r="G570" i="9"/>
  <c r="F569" i="9"/>
  <c r="J456" i="7"/>
  <c r="K456" i="7" s="1"/>
  <c r="K457" i="7"/>
  <c r="AD866" i="2"/>
  <c r="H330" i="7" s="1"/>
  <c r="H329" i="7" l="1"/>
  <c r="E628" i="9"/>
  <c r="E627" i="9" s="1"/>
  <c r="E626" i="9" s="1"/>
  <c r="E595" i="9" s="1"/>
  <c r="F568" i="9"/>
  <c r="G568" i="9" s="1"/>
  <c r="G569" i="9"/>
  <c r="H328" i="7"/>
  <c r="H327" i="7"/>
  <c r="J698" i="7"/>
  <c r="K698" i="7" s="1"/>
  <c r="AD870" i="2" l="1"/>
  <c r="F334" i="7" l="1"/>
  <c r="F333" i="7" s="1"/>
  <c r="F332" i="7" s="1"/>
  <c r="H334" i="7"/>
  <c r="AD936" i="2"/>
  <c r="AD967" i="2"/>
  <c r="H508" i="7" s="1"/>
  <c r="H507" i="7" s="1"/>
  <c r="H484" i="7" s="1"/>
  <c r="H483" i="7" s="1"/>
  <c r="AD270" i="2"/>
  <c r="H384" i="7" s="1"/>
  <c r="AD113" i="2"/>
  <c r="AD860" i="2"/>
  <c r="H319" i="7" s="1"/>
  <c r="J823" i="7"/>
  <c r="K823" i="7" s="1"/>
  <c r="F823" i="7"/>
  <c r="D706" i="9" s="1"/>
  <c r="D705" i="9" s="1"/>
  <c r="D704" i="9" s="1"/>
  <c r="AF450" i="2"/>
  <c r="AD450" i="2"/>
  <c r="AD449" i="2" s="1"/>
  <c r="AD448" i="2" s="1"/>
  <c r="AD447" i="2" s="1"/>
  <c r="H474" i="7" l="1"/>
  <c r="H473" i="7" s="1"/>
  <c r="H464" i="7" s="1"/>
  <c r="H463" i="7" s="1"/>
  <c r="E586" i="9"/>
  <c r="E585" i="9" s="1"/>
  <c r="E584" i="9" s="1"/>
  <c r="E575" i="9" s="1"/>
  <c r="E574" i="9" s="1"/>
  <c r="H318" i="7"/>
  <c r="H317" i="7" s="1"/>
  <c r="H310" i="7" s="1"/>
  <c r="H309" i="7" s="1"/>
  <c r="H308" i="7" s="1"/>
  <c r="E533" i="9"/>
  <c r="E532" i="9" s="1"/>
  <c r="E531" i="9" s="1"/>
  <c r="E524" i="9" s="1"/>
  <c r="E523" i="9" s="1"/>
  <c r="E513" i="9" s="1"/>
  <c r="H333" i="7"/>
  <c r="H332" i="7" s="1"/>
  <c r="H331" i="7" s="1"/>
  <c r="H326" i="7" s="1"/>
  <c r="H325" i="7" s="1"/>
  <c r="E645" i="9"/>
  <c r="E644" i="9" s="1"/>
  <c r="E643" i="9" s="1"/>
  <c r="E642" i="9" s="1"/>
  <c r="E594" i="9" s="1"/>
  <c r="H188" i="7"/>
  <c r="H187" i="7" s="1"/>
  <c r="H186" i="7" s="1"/>
  <c r="H181" i="7" s="1"/>
  <c r="H180" i="7" s="1"/>
  <c r="H122" i="7" s="1"/>
  <c r="E15" i="10" s="1"/>
  <c r="E548" i="9"/>
  <c r="E547" i="9" s="1"/>
  <c r="E546" i="9" s="1"/>
  <c r="E545" i="9" s="1"/>
  <c r="E540" i="9" s="1"/>
  <c r="E539" i="9" s="1"/>
  <c r="H381" i="7"/>
  <c r="H380" i="7" s="1"/>
  <c r="H375" i="7" s="1"/>
  <c r="H374" i="7" s="1"/>
  <c r="H367" i="7" s="1"/>
  <c r="E30" i="10" s="1"/>
  <c r="H462" i="7"/>
  <c r="H436" i="7" s="1"/>
  <c r="E32" i="10" s="1"/>
  <c r="AF449" i="2"/>
  <c r="AG450" i="2"/>
  <c r="J822" i="7"/>
  <c r="F706" i="9"/>
  <c r="G706" i="9" s="1"/>
  <c r="F822" i="7"/>
  <c r="F821" i="7" s="1"/>
  <c r="F820" i="7" s="1"/>
  <c r="F819" i="7" s="1"/>
  <c r="D48" i="10" s="1"/>
  <c r="AF470" i="2"/>
  <c r="AG470" i="2" s="1"/>
  <c r="AF468" i="2"/>
  <c r="AG468" i="2" s="1"/>
  <c r="AD470" i="2"/>
  <c r="E573" i="9" l="1"/>
  <c r="E29" i="10"/>
  <c r="H307" i="7"/>
  <c r="J821" i="7"/>
  <c r="K822" i="7"/>
  <c r="H366" i="7"/>
  <c r="AF448" i="2"/>
  <c r="AG449" i="2"/>
  <c r="AF467" i="2"/>
  <c r="AG467" i="2" s="1"/>
  <c r="H279" i="7" l="1"/>
  <c r="E26" i="10"/>
  <c r="E23" i="10" s="1"/>
  <c r="J820" i="7"/>
  <c r="K821" i="7"/>
  <c r="AF447" i="2"/>
  <c r="AG447" i="2" s="1"/>
  <c r="AG448" i="2"/>
  <c r="AF184" i="2"/>
  <c r="AG184" i="2" s="1"/>
  <c r="AD184" i="2"/>
  <c r="J819" i="7" l="1"/>
  <c r="K820" i="7"/>
  <c r="AF179" i="2"/>
  <c r="AG179" i="2" s="1"/>
  <c r="AF177" i="2"/>
  <c r="AD179" i="2"/>
  <c r="AD177" i="2"/>
  <c r="AG177" i="2" l="1"/>
  <c r="AF176" i="2"/>
  <c r="F48" i="10"/>
  <c r="G48" i="10" s="1"/>
  <c r="K819" i="7"/>
  <c r="AD1005" i="2" l="1"/>
  <c r="H546" i="7" s="1"/>
  <c r="H545" i="7" s="1"/>
  <c r="H544" i="7" s="1"/>
  <c r="H543" i="7" s="1"/>
  <c r="H542" i="7" s="1"/>
  <c r="H541" i="7" s="1"/>
  <c r="H540" i="7" s="1"/>
  <c r="AD1023" i="2"/>
  <c r="AD383" i="2"/>
  <c r="H755" i="7" s="1"/>
  <c r="H754" i="7" l="1"/>
  <c r="H753" i="7" s="1"/>
  <c r="H746" i="7" s="1"/>
  <c r="H745" i="7" s="1"/>
  <c r="H732" i="7" s="1"/>
  <c r="H731" i="7" s="1"/>
  <c r="E39" i="9"/>
  <c r="E38" i="9" s="1"/>
  <c r="E37" i="9" s="1"/>
  <c r="E30" i="9" s="1"/>
  <c r="E29" i="9" s="1"/>
  <c r="E16" i="9" s="1"/>
  <c r="E666" i="9" s="1"/>
  <c r="E729" i="9" s="1"/>
  <c r="H539" i="7"/>
  <c r="E35" i="10"/>
  <c r="E34" i="10" s="1"/>
  <c r="J620" i="7"/>
  <c r="F620" i="7"/>
  <c r="G620" i="7" s="1"/>
  <c r="G619" i="7" s="1"/>
  <c r="G618" i="7" s="1"/>
  <c r="G617" i="7" s="1"/>
  <c r="AF713" i="2"/>
  <c r="AD713" i="2"/>
  <c r="AD712" i="2" s="1"/>
  <c r="AD711" i="2" s="1"/>
  <c r="H730" i="7" l="1"/>
  <c r="E43" i="10"/>
  <c r="E42" i="10" s="1"/>
  <c r="J619" i="7"/>
  <c r="K620" i="7"/>
  <c r="AF712" i="2"/>
  <c r="AG713" i="2"/>
  <c r="D163" i="9"/>
  <c r="D162" i="9" s="1"/>
  <c r="D161" i="9" s="1"/>
  <c r="D160" i="9" s="1"/>
  <c r="F163" i="9"/>
  <c r="L620" i="7"/>
  <c r="F619" i="7"/>
  <c r="F618" i="7" s="1"/>
  <c r="F617" i="7" s="1"/>
  <c r="L619" i="7" l="1"/>
  <c r="M620" i="7"/>
  <c r="F162" i="9"/>
  <c r="G163" i="9"/>
  <c r="J618" i="7"/>
  <c r="K619" i="7"/>
  <c r="AF711" i="2"/>
  <c r="AG711" i="2" s="1"/>
  <c r="AG712" i="2"/>
  <c r="F385" i="7"/>
  <c r="D641" i="9" s="1"/>
  <c r="D640" i="9" s="1"/>
  <c r="D637" i="9" s="1"/>
  <c r="D636" i="9" s="1"/>
  <c r="AD269" i="2"/>
  <c r="AD266" i="2" s="1"/>
  <c r="AD265" i="2" s="1"/>
  <c r="J385" i="7"/>
  <c r="K385" i="7" s="1"/>
  <c r="F161" i="9" l="1"/>
  <c r="G162" i="9"/>
  <c r="L618" i="7"/>
  <c r="M619" i="7"/>
  <c r="J617" i="7"/>
  <c r="K617" i="7" s="1"/>
  <c r="K618" i="7"/>
  <c r="F641" i="9"/>
  <c r="J384" i="7"/>
  <c r="K384" i="7" s="1"/>
  <c r="AF269" i="2"/>
  <c r="F384" i="7"/>
  <c r="F381" i="7" s="1"/>
  <c r="F380" i="7" s="1"/>
  <c r="F640" i="9" l="1"/>
  <c r="G640" i="9" s="1"/>
  <c r="G641" i="9"/>
  <c r="L617" i="7"/>
  <c r="M617" i="7" s="1"/>
  <c r="M618" i="7"/>
  <c r="F160" i="9"/>
  <c r="G160" i="9" s="1"/>
  <c r="G161" i="9"/>
  <c r="F637" i="9"/>
  <c r="J381" i="7"/>
  <c r="AF266" i="2"/>
  <c r="AG266" i="2" s="1"/>
  <c r="AG269" i="2"/>
  <c r="F583" i="9"/>
  <c r="F472" i="7"/>
  <c r="D583" i="9" s="1"/>
  <c r="D582" i="9" s="1"/>
  <c r="D581" i="9" s="1"/>
  <c r="AF932" i="2"/>
  <c r="AD932" i="2"/>
  <c r="AD931" i="2" s="1"/>
  <c r="F636" i="9" l="1"/>
  <c r="G636" i="9" s="1"/>
  <c r="G637" i="9"/>
  <c r="F582" i="9"/>
  <c r="G583" i="9"/>
  <c r="J380" i="7"/>
  <c r="K380" i="7" s="1"/>
  <c r="K381" i="7"/>
  <c r="AF931" i="2"/>
  <c r="AG931" i="2" s="1"/>
  <c r="AG932" i="2"/>
  <c r="AF265" i="2"/>
  <c r="AG265" i="2" s="1"/>
  <c r="F471" i="7"/>
  <c r="F470" i="7" s="1"/>
  <c r="J471" i="7"/>
  <c r="F581" i="9" l="1"/>
  <c r="G581" i="9" s="1"/>
  <c r="G582" i="9"/>
  <c r="J470" i="7"/>
  <c r="K470" i="7" s="1"/>
  <c r="K471" i="7"/>
  <c r="J467" i="7"/>
  <c r="F467" i="7"/>
  <c r="F466" i="7" s="1"/>
  <c r="F465" i="7" s="1"/>
  <c r="AF929" i="2"/>
  <c r="AD929" i="2"/>
  <c r="AD928" i="2" s="1"/>
  <c r="F578" i="9" l="1"/>
  <c r="K467" i="7"/>
  <c r="AF928" i="2"/>
  <c r="AG928" i="2" s="1"/>
  <c r="AG929" i="2"/>
  <c r="J466" i="7"/>
  <c r="D578" i="9"/>
  <c r="D577" i="9" s="1"/>
  <c r="D576" i="9" s="1"/>
  <c r="F577" i="9" l="1"/>
  <c r="G578" i="9"/>
  <c r="J465" i="7"/>
  <c r="K465" i="7" s="1"/>
  <c r="K466" i="7"/>
  <c r="F721" i="7"/>
  <c r="F576" i="9" l="1"/>
  <c r="G576" i="9" s="1"/>
  <c r="G577" i="9"/>
  <c r="F879" i="7"/>
  <c r="J879" i="7"/>
  <c r="AF478" i="2"/>
  <c r="F245" i="9" l="1"/>
  <c r="K879" i="7"/>
  <c r="AF477" i="2"/>
  <c r="AG478" i="2"/>
  <c r="F878" i="7"/>
  <c r="F877" i="7" s="1"/>
  <c r="F876" i="7" s="1"/>
  <c r="D245" i="9"/>
  <c r="D244" i="9" s="1"/>
  <c r="D243" i="9" s="1"/>
  <c r="D242" i="9" s="1"/>
  <c r="D241" i="9" s="1"/>
  <c r="AD478" i="2"/>
  <c r="AD477" i="2" s="1"/>
  <c r="AD476" i="2" s="1"/>
  <c r="J878" i="7"/>
  <c r="F244" i="9" l="1"/>
  <c r="G245" i="9"/>
  <c r="J877" i="7"/>
  <c r="K878" i="7"/>
  <c r="AF476" i="2"/>
  <c r="AG477" i="2"/>
  <c r="AD475" i="2"/>
  <c r="AD474" i="2" s="1"/>
  <c r="AD473" i="2" s="1"/>
  <c r="F875" i="7"/>
  <c r="F874" i="7" s="1"/>
  <c r="F873" i="7" s="1"/>
  <c r="D54" i="10" s="1"/>
  <c r="F243" i="9" l="1"/>
  <c r="G244" i="9"/>
  <c r="J876" i="7"/>
  <c r="K877" i="7"/>
  <c r="AG476" i="2"/>
  <c r="AF475" i="2"/>
  <c r="J694" i="7"/>
  <c r="F694" i="7"/>
  <c r="D499" i="9" s="1"/>
  <c r="D498" i="9" s="1"/>
  <c r="AD343" i="2"/>
  <c r="F242" i="9" l="1"/>
  <c r="G243" i="9"/>
  <c r="J693" i="7"/>
  <c r="K693" i="7" s="1"/>
  <c r="K694" i="7"/>
  <c r="K876" i="7"/>
  <c r="J875" i="7"/>
  <c r="AF474" i="2"/>
  <c r="AG475" i="2"/>
  <c r="F693" i="7"/>
  <c r="F499" i="9"/>
  <c r="F698" i="7"/>
  <c r="F692" i="7"/>
  <c r="F498" i="9" l="1"/>
  <c r="G498" i="9" s="1"/>
  <c r="G499" i="9"/>
  <c r="F241" i="9"/>
  <c r="G241" i="9" s="1"/>
  <c r="G242" i="9"/>
  <c r="J874" i="7"/>
  <c r="K875" i="7"/>
  <c r="AF473" i="2"/>
  <c r="AG473" i="2" s="1"/>
  <c r="AG474" i="2"/>
  <c r="J858" i="7"/>
  <c r="F229" i="9" s="1"/>
  <c r="G229" i="9" s="1"/>
  <c r="F858" i="7"/>
  <c r="AF457" i="2"/>
  <c r="AD457" i="2"/>
  <c r="AD456" i="2" s="1"/>
  <c r="F857" i="7" l="1"/>
  <c r="F856" i="7" s="1"/>
  <c r="D228" i="9"/>
  <c r="F227" i="9"/>
  <c r="K858" i="7"/>
  <c r="J873" i="7"/>
  <c r="K874" i="7"/>
  <c r="AF456" i="2"/>
  <c r="AG456" i="2" s="1"/>
  <c r="AG457" i="2"/>
  <c r="D227" i="9"/>
  <c r="D226" i="9" s="1"/>
  <c r="J857" i="7"/>
  <c r="F226" i="9" l="1"/>
  <c r="G226" i="9" s="1"/>
  <c r="G227" i="9"/>
  <c r="F54" i="10"/>
  <c r="G54" i="10" s="1"/>
  <c r="K873" i="7"/>
  <c r="J856" i="7"/>
  <c r="K856" i="7" s="1"/>
  <c r="K857" i="7"/>
  <c r="D703" i="9"/>
  <c r="J509" i="7" l="1"/>
  <c r="K509" i="7" s="1"/>
  <c r="AD966" i="2"/>
  <c r="AD965" i="2" s="1"/>
  <c r="AF966" i="2"/>
  <c r="AF965" i="2" l="1"/>
  <c r="AG965" i="2" s="1"/>
  <c r="AG966" i="2"/>
  <c r="F509" i="7"/>
  <c r="D625" i="9" s="1"/>
  <c r="J508" i="7"/>
  <c r="F625" i="9"/>
  <c r="G625" i="9" s="1"/>
  <c r="J507" i="7" l="1"/>
  <c r="K507" i="7" s="1"/>
  <c r="K508" i="7"/>
  <c r="F508" i="7"/>
  <c r="F507" i="7" s="1"/>
  <c r="J286" i="7" l="1"/>
  <c r="AF844" i="2"/>
  <c r="AG844" i="2" s="1"/>
  <c r="F286" i="7"/>
  <c r="G286" i="7" s="1"/>
  <c r="G285" i="7" s="1"/>
  <c r="J285" i="7" l="1"/>
  <c r="K285" i="7" s="1"/>
  <c r="K286" i="7"/>
  <c r="AD844" i="2"/>
  <c r="F255" i="9"/>
  <c r="D255" i="9"/>
  <c r="D254" i="9" s="1"/>
  <c r="L286" i="7"/>
  <c r="F285" i="7"/>
  <c r="L285" i="7" l="1"/>
  <c r="M285" i="7" s="1"/>
  <c r="M286" i="7"/>
  <c r="F254" i="9"/>
  <c r="G254" i="9" s="1"/>
  <c r="G255" i="9"/>
  <c r="AF765" i="2"/>
  <c r="AD765" i="2"/>
  <c r="AD764" i="2" s="1"/>
  <c r="AD763" i="2" s="1"/>
  <c r="AD762" i="2" s="1"/>
  <c r="AD761" i="2" s="1"/>
  <c r="AD760" i="2" s="1"/>
  <c r="AF764" i="2" l="1"/>
  <c r="AG765" i="2"/>
  <c r="AF763" i="2" l="1"/>
  <c r="AG764" i="2"/>
  <c r="AF762" i="2" l="1"/>
  <c r="AG763" i="2"/>
  <c r="AF761" i="2" l="1"/>
  <c r="AG762" i="2"/>
  <c r="F547" i="7"/>
  <c r="F546" i="7" s="1"/>
  <c r="F545" i="7" s="1"/>
  <c r="F544" i="7" s="1"/>
  <c r="G546" i="7"/>
  <c r="G545" i="7" s="1"/>
  <c r="G544" i="7" s="1"/>
  <c r="J547" i="7"/>
  <c r="AF1004" i="2"/>
  <c r="J546" i="7" l="1"/>
  <c r="K547" i="7"/>
  <c r="AF1003" i="2"/>
  <c r="AF1002" i="2" s="1"/>
  <c r="AG1002" i="2" s="1"/>
  <c r="AG1004" i="2"/>
  <c r="AF760" i="2"/>
  <c r="AG760" i="2" s="1"/>
  <c r="AG761" i="2"/>
  <c r="G543" i="7"/>
  <c r="G542" i="7" s="1"/>
  <c r="G541" i="7" s="1"/>
  <c r="G540" i="7" s="1"/>
  <c r="G539" i="7" s="1"/>
  <c r="F543" i="7"/>
  <c r="F542" i="7" s="1"/>
  <c r="F541" i="7" s="1"/>
  <c r="F540" i="7" s="1"/>
  <c r="F539" i="7" s="1"/>
  <c r="D345" i="9"/>
  <c r="D344" i="9" s="1"/>
  <c r="D343" i="9" s="1"/>
  <c r="D342" i="9" s="1"/>
  <c r="F345" i="9"/>
  <c r="AD1004" i="2"/>
  <c r="AD1003" i="2" s="1"/>
  <c r="AD1002" i="2" s="1"/>
  <c r="F344" i="9" l="1"/>
  <c r="G345" i="9"/>
  <c r="J545" i="7"/>
  <c r="K546" i="7"/>
  <c r="AG1003" i="2"/>
  <c r="AD1001" i="2"/>
  <c r="AD1000" i="2" s="1"/>
  <c r="AD999" i="2" s="1"/>
  <c r="AD998" i="2" s="1"/>
  <c r="AD997" i="2" s="1"/>
  <c r="D35" i="10"/>
  <c r="D34" i="10" s="1"/>
  <c r="D341" i="9"/>
  <c r="D340" i="9" s="1"/>
  <c r="F343" i="9" l="1"/>
  <c r="G344" i="9"/>
  <c r="J544" i="7"/>
  <c r="K545" i="7"/>
  <c r="AF1001" i="2"/>
  <c r="G404" i="7"/>
  <c r="F342" i="9" l="1"/>
  <c r="G343" i="9"/>
  <c r="K544" i="7"/>
  <c r="J543" i="7"/>
  <c r="AG1001" i="2"/>
  <c r="AF1000" i="2"/>
  <c r="J330" i="7"/>
  <c r="AD865" i="2"/>
  <c r="AD864" i="2" s="1"/>
  <c r="AD863" i="2" s="1"/>
  <c r="AF865" i="2"/>
  <c r="G342" i="9" l="1"/>
  <c r="F341" i="9"/>
  <c r="F628" i="9"/>
  <c r="G628" i="9" s="1"/>
  <c r="K330" i="7"/>
  <c r="J542" i="7"/>
  <c r="K543" i="7"/>
  <c r="AF864" i="2"/>
  <c r="AG865" i="2"/>
  <c r="AF999" i="2"/>
  <c r="AG1000" i="2"/>
  <c r="F330" i="7"/>
  <c r="J329" i="7"/>
  <c r="F891" i="7"/>
  <c r="F890" i="7" s="1"/>
  <c r="J379" i="7"/>
  <c r="F379" i="7"/>
  <c r="D635" i="9" s="1"/>
  <c r="D634" i="9" s="1"/>
  <c r="D633" i="9" s="1"/>
  <c r="D632" i="9" s="1"/>
  <c r="AF117" i="2"/>
  <c r="AD117" i="2"/>
  <c r="AD116" i="2" s="1"/>
  <c r="AD115" i="2" s="1"/>
  <c r="AD114" i="2" s="1"/>
  <c r="J697" i="7"/>
  <c r="D503" i="9"/>
  <c r="D502" i="9" s="1"/>
  <c r="D501" i="9" s="1"/>
  <c r="F340" i="9" l="1"/>
  <c r="G340" i="9" s="1"/>
  <c r="G341" i="9"/>
  <c r="J327" i="7"/>
  <c r="K327" i="7" s="1"/>
  <c r="K329" i="7"/>
  <c r="J696" i="7"/>
  <c r="K697" i="7"/>
  <c r="J541" i="7"/>
  <c r="K542" i="7"/>
  <c r="F635" i="9"/>
  <c r="K379" i="7"/>
  <c r="AF998" i="2"/>
  <c r="AG999" i="2"/>
  <c r="AF863" i="2"/>
  <c r="AG863" i="2" s="1"/>
  <c r="AG864" i="2"/>
  <c r="AF116" i="2"/>
  <c r="AG117" i="2"/>
  <c r="F889" i="7"/>
  <c r="F888" i="7" s="1"/>
  <c r="F886" i="7"/>
  <c r="F887" i="7"/>
  <c r="J328" i="7"/>
  <c r="K328" i="7" s="1"/>
  <c r="F329" i="7"/>
  <c r="F327" i="7" s="1"/>
  <c r="D628" i="9"/>
  <c r="J378" i="7"/>
  <c r="F378" i="7"/>
  <c r="F377" i="7" s="1"/>
  <c r="F376" i="7" s="1"/>
  <c r="F697" i="7"/>
  <c r="F696" i="7" s="1"/>
  <c r="F695" i="7" s="1"/>
  <c r="F503" i="9"/>
  <c r="F634" i="9" l="1"/>
  <c r="G635" i="9"/>
  <c r="F502" i="9"/>
  <c r="G503" i="9"/>
  <c r="J377" i="7"/>
  <c r="K378" i="7"/>
  <c r="J695" i="7"/>
  <c r="K695" i="7" s="1"/>
  <c r="K696" i="7"/>
  <c r="J540" i="7"/>
  <c r="K541" i="7"/>
  <c r="AF997" i="2"/>
  <c r="AG997" i="2" s="1"/>
  <c r="AG998" i="2"/>
  <c r="AF115" i="2"/>
  <c r="AG116" i="2"/>
  <c r="F884" i="7"/>
  <c r="F885" i="7"/>
  <c r="F328" i="7"/>
  <c r="F871" i="7"/>
  <c r="D239" i="9" s="1"/>
  <c r="J872" i="7"/>
  <c r="F872" i="7"/>
  <c r="D240" i="9" s="1"/>
  <c r="J871" i="7"/>
  <c r="J264" i="7"/>
  <c r="F264" i="7"/>
  <c r="F263" i="7" s="1"/>
  <c r="F262" i="7" s="1"/>
  <c r="J252" i="7"/>
  <c r="F252" i="7"/>
  <c r="D293" i="9" s="1"/>
  <c r="D292" i="9" s="1"/>
  <c r="D291" i="9" s="1"/>
  <c r="D290" i="9" s="1"/>
  <c r="F501" i="9" l="1"/>
  <c r="G501" i="9" s="1"/>
  <c r="G502" i="9"/>
  <c r="F633" i="9"/>
  <c r="G634" i="9"/>
  <c r="F293" i="9"/>
  <c r="K252" i="7"/>
  <c r="J539" i="7"/>
  <c r="K539" i="7" s="1"/>
  <c r="K540" i="7"/>
  <c r="F35" i="10"/>
  <c r="F240" i="9"/>
  <c r="G240" i="9" s="1"/>
  <c r="K872" i="7"/>
  <c r="F239" i="9"/>
  <c r="K871" i="7"/>
  <c r="J263" i="7"/>
  <c r="K264" i="7"/>
  <c r="J376" i="7"/>
  <c r="K376" i="7" s="1"/>
  <c r="K377" i="7"/>
  <c r="AF114" i="2"/>
  <c r="AG114" i="2" s="1"/>
  <c r="AG115" i="2"/>
  <c r="D238" i="9"/>
  <c r="AD467" i="2"/>
  <c r="J870" i="7"/>
  <c r="K870" i="7" s="1"/>
  <c r="F870" i="7"/>
  <c r="D314" i="9"/>
  <c r="D313" i="9" s="1"/>
  <c r="D312" i="9" s="1"/>
  <c r="F314" i="9"/>
  <c r="F261" i="7"/>
  <c r="F260" i="7" s="1"/>
  <c r="F292" i="9" l="1"/>
  <c r="G293" i="9"/>
  <c r="F632" i="9"/>
  <c r="G632" i="9" s="1"/>
  <c r="G633" i="9"/>
  <c r="F238" i="9"/>
  <c r="G238" i="9" s="1"/>
  <c r="G239" i="9"/>
  <c r="F34" i="10"/>
  <c r="G34" i="10" s="1"/>
  <c r="G35" i="10"/>
  <c r="F313" i="9"/>
  <c r="G314" i="9"/>
  <c r="J262" i="7"/>
  <c r="K263" i="7"/>
  <c r="D311" i="9"/>
  <c r="D310" i="9" s="1"/>
  <c r="F312" i="9" l="1"/>
  <c r="G313" i="9"/>
  <c r="F291" i="9"/>
  <c r="G292" i="9"/>
  <c r="K262" i="7"/>
  <c r="J261" i="7"/>
  <c r="AD182" i="2"/>
  <c r="AD181" i="2" s="1"/>
  <c r="AF182" i="2"/>
  <c r="AF172" i="2"/>
  <c r="AD172" i="2"/>
  <c r="AD171" i="2" s="1"/>
  <c r="AD170" i="2" s="1"/>
  <c r="F290" i="9" l="1"/>
  <c r="G290" i="9" s="1"/>
  <c r="G291" i="9"/>
  <c r="G312" i="9"/>
  <c r="F311" i="9"/>
  <c r="J260" i="7"/>
  <c r="K260" i="7" s="1"/>
  <c r="K261" i="7"/>
  <c r="AF181" i="2"/>
  <c r="AG181" i="2" s="1"/>
  <c r="AG182" i="2"/>
  <c r="AF171" i="2"/>
  <c r="AG172" i="2"/>
  <c r="AD96" i="2"/>
  <c r="AF43" i="2"/>
  <c r="AD43" i="2"/>
  <c r="AD42" i="2" s="1"/>
  <c r="AD41" i="2" s="1"/>
  <c r="F310" i="9" l="1"/>
  <c r="G310" i="9" s="1"/>
  <c r="G311" i="9"/>
  <c r="AF170" i="2"/>
  <c r="AG170" i="2" s="1"/>
  <c r="AG171" i="2"/>
  <c r="AF42" i="2"/>
  <c r="AG43" i="2"/>
  <c r="J772" i="7"/>
  <c r="K772" i="7" s="1"/>
  <c r="F772" i="7"/>
  <c r="J777" i="7"/>
  <c r="K777" i="7" s="1"/>
  <c r="F777" i="7"/>
  <c r="AF404" i="2"/>
  <c r="AD404" i="2"/>
  <c r="AD403" i="2" s="1"/>
  <c r="AF401" i="2"/>
  <c r="AG401" i="2" s="1"/>
  <c r="AD401" i="2"/>
  <c r="AF399" i="2"/>
  <c r="AG399" i="2" s="1"/>
  <c r="AD399" i="2"/>
  <c r="L521" i="7"/>
  <c r="M521" i="7" s="1"/>
  <c r="J522" i="7"/>
  <c r="F522" i="7"/>
  <c r="G522" i="7" s="1"/>
  <c r="G521" i="7" s="1"/>
  <c r="J524" i="7"/>
  <c r="F524" i="7"/>
  <c r="F523" i="7" s="1"/>
  <c r="AF981" i="2"/>
  <c r="AG981" i="2" s="1"/>
  <c r="AD981" i="2"/>
  <c r="AF979" i="2"/>
  <c r="AG979" i="2" s="1"/>
  <c r="AD979" i="2"/>
  <c r="G403" i="7"/>
  <c r="G402" i="7" s="1"/>
  <c r="G395" i="7" s="1"/>
  <c r="F405" i="7"/>
  <c r="D357" i="9" s="1"/>
  <c r="D356" i="9" s="1"/>
  <c r="J194" i="7"/>
  <c r="F194" i="7"/>
  <c r="D566" i="9" s="1"/>
  <c r="F455" i="9"/>
  <c r="J157" i="7"/>
  <c r="K157" i="7" s="1"/>
  <c r="F157" i="7"/>
  <c r="F159" i="7"/>
  <c r="D455" i="9" s="1"/>
  <c r="D454" i="9" s="1"/>
  <c r="J70" i="7"/>
  <c r="F476" i="9" s="1"/>
  <c r="G476" i="9" s="1"/>
  <c r="F70" i="7"/>
  <c r="D476" i="9" s="1"/>
  <c r="F454" i="9" l="1"/>
  <c r="G454" i="9" s="1"/>
  <c r="G455" i="9"/>
  <c r="J521" i="7"/>
  <c r="K521" i="7" s="1"/>
  <c r="K522" i="7"/>
  <c r="J523" i="7"/>
  <c r="K523" i="7" s="1"/>
  <c r="K524" i="7"/>
  <c r="K70" i="7"/>
  <c r="F566" i="9"/>
  <c r="K194" i="7"/>
  <c r="AF403" i="2"/>
  <c r="AG403" i="2" s="1"/>
  <c r="AG404" i="2"/>
  <c r="AF41" i="2"/>
  <c r="AG41" i="2" s="1"/>
  <c r="AG42" i="2"/>
  <c r="J156" i="7"/>
  <c r="K156" i="7" s="1"/>
  <c r="F453" i="9"/>
  <c r="F156" i="7"/>
  <c r="D453" i="9"/>
  <c r="D452" i="9" s="1"/>
  <c r="D451" i="9" s="1"/>
  <c r="F69" i="7"/>
  <c r="F68" i="7" s="1"/>
  <c r="F67" i="7" s="1"/>
  <c r="J69" i="7"/>
  <c r="AD398" i="2"/>
  <c r="AD397" i="2" s="1"/>
  <c r="AF398" i="2"/>
  <c r="F521" i="7"/>
  <c r="F520" i="7" s="1"/>
  <c r="D622" i="9"/>
  <c r="D621" i="9" s="1"/>
  <c r="AF978" i="2"/>
  <c r="F622" i="9"/>
  <c r="D620" i="9"/>
  <c r="D619" i="9" s="1"/>
  <c r="AD978" i="2"/>
  <c r="AD977" i="2" s="1"/>
  <c r="AD976" i="2" s="1"/>
  <c r="L524" i="7"/>
  <c r="J520" i="7"/>
  <c r="K520" i="7" s="1"/>
  <c r="F620" i="9"/>
  <c r="G524" i="7"/>
  <c r="G523" i="7" s="1"/>
  <c r="G520" i="7" s="1"/>
  <c r="J193" i="7"/>
  <c r="F193" i="7"/>
  <c r="F192" i="7" s="1"/>
  <c r="F191" i="7" s="1"/>
  <c r="F190" i="7" s="1"/>
  <c r="J158" i="7"/>
  <c r="K158" i="7" s="1"/>
  <c r="F158" i="7"/>
  <c r="D565" i="9"/>
  <c r="D564" i="9" s="1"/>
  <c r="D563" i="9" s="1"/>
  <c r="D562" i="9" s="1"/>
  <c r="A779" i="7"/>
  <c r="A780" i="7"/>
  <c r="A781" i="7"/>
  <c r="A782" i="7"/>
  <c r="A783" i="7"/>
  <c r="A784" i="7"/>
  <c r="F565" i="9" l="1"/>
  <c r="G566" i="9"/>
  <c r="F619" i="9"/>
  <c r="G619" i="9" s="1"/>
  <c r="G620" i="9"/>
  <c r="L523" i="7"/>
  <c r="M524" i="7"/>
  <c r="F452" i="9"/>
  <c r="G453" i="9"/>
  <c r="F621" i="9"/>
  <c r="G621" i="9" s="1"/>
  <c r="G622" i="9"/>
  <c r="J192" i="7"/>
  <c r="K193" i="7"/>
  <c r="J68" i="7"/>
  <c r="K69" i="7"/>
  <c r="AF977" i="2"/>
  <c r="AG978" i="2"/>
  <c r="AF397" i="2"/>
  <c r="AG397" i="2" s="1"/>
  <c r="AG398" i="2"/>
  <c r="J155" i="7"/>
  <c r="K155" i="7" s="1"/>
  <c r="G394" i="7"/>
  <c r="F155" i="7"/>
  <c r="J519" i="7"/>
  <c r="F519" i="7"/>
  <c r="F518" i="7" s="1"/>
  <c r="G519" i="7"/>
  <c r="G518" i="7" s="1"/>
  <c r="D618" i="9"/>
  <c r="L520" i="7" l="1"/>
  <c r="M523" i="7"/>
  <c r="F451" i="9"/>
  <c r="G451" i="9" s="1"/>
  <c r="G452" i="9"/>
  <c r="F618" i="9"/>
  <c r="G618" i="9" s="1"/>
  <c r="F564" i="9"/>
  <c r="G565" i="9"/>
  <c r="J518" i="7"/>
  <c r="K518" i="7" s="1"/>
  <c r="K519" i="7"/>
  <c r="J67" i="7"/>
  <c r="K67" i="7" s="1"/>
  <c r="K68" i="7"/>
  <c r="J191" i="7"/>
  <c r="K192" i="7"/>
  <c r="AF976" i="2"/>
  <c r="AG976" i="2" s="1"/>
  <c r="AG977" i="2"/>
  <c r="G393" i="7"/>
  <c r="G392" i="7" s="1"/>
  <c r="F563" i="9" l="1"/>
  <c r="G564" i="9"/>
  <c r="M520" i="7"/>
  <c r="L519" i="7"/>
  <c r="J190" i="7"/>
  <c r="K190" i="7" s="1"/>
  <c r="K191" i="7"/>
  <c r="F705" i="9"/>
  <c r="F704" i="9" l="1"/>
  <c r="G704" i="9" s="1"/>
  <c r="G705" i="9"/>
  <c r="L518" i="7"/>
  <c r="M518" i="7" s="1"/>
  <c r="M519" i="7"/>
  <c r="F562" i="9"/>
  <c r="G562" i="9" s="1"/>
  <c r="G563" i="9"/>
  <c r="F404" i="7"/>
  <c r="D355" i="9" s="1"/>
  <c r="D354" i="9" s="1"/>
  <c r="D347" i="9" s="1"/>
  <c r="AD897" i="2"/>
  <c r="AD896" i="2" l="1"/>
  <c r="AD888" i="2" s="1"/>
  <c r="J405" i="7"/>
  <c r="K405" i="7" s="1"/>
  <c r="AF897" i="2"/>
  <c r="AF896" i="2" l="1"/>
  <c r="AF888" i="2" s="1"/>
  <c r="AG888" i="2" s="1"/>
  <c r="AG897" i="2"/>
  <c r="AF895" i="2"/>
  <c r="AG895" i="2" s="1"/>
  <c r="AD895" i="2"/>
  <c r="J404" i="7"/>
  <c r="K404" i="7" s="1"/>
  <c r="F357" i="9"/>
  <c r="F356" i="9" l="1"/>
  <c r="G356" i="9" s="1"/>
  <c r="G357" i="9"/>
  <c r="AG896" i="2"/>
  <c r="D627" i="9"/>
  <c r="D626" i="9" s="1"/>
  <c r="F355" i="9" l="1"/>
  <c r="F354" i="9"/>
  <c r="G355" i="9"/>
  <c r="AF887" i="2"/>
  <c r="AF886" i="2" s="1"/>
  <c r="AF885" i="2" s="1"/>
  <c r="AF693" i="2"/>
  <c r="F347" i="9" l="1"/>
  <c r="G347" i="9" s="1"/>
  <c r="G354" i="9"/>
  <c r="AF692" i="2"/>
  <c r="AG693" i="2"/>
  <c r="G481" i="7"/>
  <c r="G480" i="7" s="1"/>
  <c r="G479" i="7" s="1"/>
  <c r="AG692" i="2" l="1"/>
  <c r="J818" i="7"/>
  <c r="K818" i="7" s="1"/>
  <c r="F818" i="7"/>
  <c r="D702" i="9" l="1"/>
  <c r="D701" i="9" s="1"/>
  <c r="F703" i="9"/>
  <c r="AD938" i="2"/>
  <c r="AF938" i="2"/>
  <c r="AG938" i="2" s="1"/>
  <c r="F702" i="9" l="1"/>
  <c r="G703" i="9"/>
  <c r="J259" i="7"/>
  <c r="F259" i="7"/>
  <c r="D309" i="9" s="1"/>
  <c r="K259" i="7" l="1"/>
  <c r="F309" i="9"/>
  <c r="G309" i="9" s="1"/>
  <c r="F701" i="9"/>
  <c r="G701" i="9" s="1"/>
  <c r="G702" i="9"/>
  <c r="D308" i="9"/>
  <c r="J258" i="7"/>
  <c r="K258" i="7" s="1"/>
  <c r="F258" i="7"/>
  <c r="F308" i="9" l="1"/>
  <c r="G308" i="9" s="1"/>
  <c r="AD651" i="2"/>
  <c r="AD703" i="2"/>
  <c r="AF650" i="2" l="1"/>
  <c r="AD650" i="2"/>
  <c r="AD649" i="2" s="1"/>
  <c r="AD648" i="2" s="1"/>
  <c r="AD647" i="2" s="1"/>
  <c r="AD702" i="2"/>
  <c r="AD701" i="2" s="1"/>
  <c r="AD700" i="2" s="1"/>
  <c r="AD699" i="2" s="1"/>
  <c r="AF702" i="2"/>
  <c r="AF701" i="2" l="1"/>
  <c r="AG701" i="2" s="1"/>
  <c r="AG702" i="2"/>
  <c r="AF649" i="2"/>
  <c r="AG650" i="2"/>
  <c r="AF700" i="2"/>
  <c r="AF699" i="2" l="1"/>
  <c r="AG699" i="2" s="1"/>
  <c r="AG700" i="2"/>
  <c r="AF648" i="2"/>
  <c r="AG649" i="2"/>
  <c r="J208" i="7"/>
  <c r="F719" i="9" s="1"/>
  <c r="G719" i="9" s="1"/>
  <c r="F208" i="7"/>
  <c r="D719" i="9" s="1"/>
  <c r="D718" i="9" s="1"/>
  <c r="D717" i="9" s="1"/>
  <c r="D707" i="9" s="1"/>
  <c r="AF131" i="2"/>
  <c r="AG131" i="2" s="1"/>
  <c r="AD131" i="2"/>
  <c r="F718" i="9" l="1"/>
  <c r="K208" i="7"/>
  <c r="AF647" i="2"/>
  <c r="AG647" i="2" s="1"/>
  <c r="AG648" i="2"/>
  <c r="AF130" i="2"/>
  <c r="AD130" i="2"/>
  <c r="AD123" i="2" s="1"/>
  <c r="J207" i="7"/>
  <c r="F207" i="7"/>
  <c r="F206" i="7" s="1"/>
  <c r="F199" i="7" s="1"/>
  <c r="F717" i="9" l="1"/>
  <c r="G718" i="9"/>
  <c r="J206" i="7"/>
  <c r="K207" i="7"/>
  <c r="AF123" i="2"/>
  <c r="AG123" i="2" s="1"/>
  <c r="AG130" i="2"/>
  <c r="F195" i="7"/>
  <c r="F624" i="9"/>
  <c r="D624" i="9"/>
  <c r="D623" i="9" s="1"/>
  <c r="F623" i="9" l="1"/>
  <c r="G623" i="9" s="1"/>
  <c r="G624" i="9"/>
  <c r="F707" i="9"/>
  <c r="G707" i="9" s="1"/>
  <c r="G717" i="9"/>
  <c r="J199" i="7"/>
  <c r="K206" i="7"/>
  <c r="K199" i="7" l="1"/>
  <c r="J195" i="7"/>
  <c r="K195" i="7" s="1"/>
  <c r="L517" i="7"/>
  <c r="L510" i="7" l="1"/>
  <c r="M510" i="7" s="1"/>
  <c r="M517" i="7"/>
  <c r="G517" i="7"/>
  <c r="G510" i="7" s="1"/>
  <c r="J334" i="7" l="1"/>
  <c r="D645" i="9"/>
  <c r="D644" i="9" s="1"/>
  <c r="D643" i="9" s="1"/>
  <c r="D642" i="9" s="1"/>
  <c r="AD869" i="2"/>
  <c r="AD868" i="2" s="1"/>
  <c r="AF869" i="2"/>
  <c r="J333" i="7" l="1"/>
  <c r="K334" i="7"/>
  <c r="AF868" i="2"/>
  <c r="AG869" i="2"/>
  <c r="AD867" i="2"/>
  <c r="AD862" i="2"/>
  <c r="AD861" i="2" s="1"/>
  <c r="F331" i="7"/>
  <c r="F645" i="9"/>
  <c r="F644" i="9" l="1"/>
  <c r="G645" i="9"/>
  <c r="J332" i="7"/>
  <c r="K333" i="7"/>
  <c r="AF867" i="2"/>
  <c r="AG867" i="2" s="1"/>
  <c r="AG868" i="2"/>
  <c r="F869" i="7"/>
  <c r="D237" i="9" s="1"/>
  <c r="F643" i="9" l="1"/>
  <c r="G644" i="9"/>
  <c r="J331" i="7"/>
  <c r="K331" i="7" s="1"/>
  <c r="K332" i="7"/>
  <c r="F346" i="9"/>
  <c r="G346" i="9" s="1"/>
  <c r="F642" i="9" l="1"/>
  <c r="G642" i="9" s="1"/>
  <c r="G643" i="9"/>
  <c r="D346" i="9"/>
  <c r="D339" i="9" s="1"/>
  <c r="AD887" i="2" l="1"/>
  <c r="J326" i="7"/>
  <c r="AF862" i="2"/>
  <c r="J325" i="7" l="1"/>
  <c r="K325" i="7" s="1"/>
  <c r="K326" i="7"/>
  <c r="AF861" i="2"/>
  <c r="AG861" i="2" s="1"/>
  <c r="AG862" i="2"/>
  <c r="AG887" i="2"/>
  <c r="F339" i="9"/>
  <c r="G339" i="9" s="1"/>
  <c r="F326" i="7"/>
  <c r="F325" i="7" s="1"/>
  <c r="D172" i="9" l="1"/>
  <c r="J848" i="7" l="1"/>
  <c r="K848" i="7" s="1"/>
  <c r="F848" i="7"/>
  <c r="J834" i="7"/>
  <c r="F834" i="7"/>
  <c r="D126" i="9" s="1"/>
  <c r="D125" i="9" s="1"/>
  <c r="J832" i="7"/>
  <c r="F832" i="7"/>
  <c r="D124" i="9" s="1"/>
  <c r="D123" i="9" s="1"/>
  <c r="J830" i="7"/>
  <c r="F830" i="7"/>
  <c r="D122" i="9" s="1"/>
  <c r="D121" i="9" s="1"/>
  <c r="J724" i="7"/>
  <c r="K724" i="7" s="1"/>
  <c r="J714" i="7"/>
  <c r="K714" i="7" s="1"/>
  <c r="F714" i="7"/>
  <c r="J711" i="7"/>
  <c r="K711" i="7" s="1"/>
  <c r="F711" i="7"/>
  <c r="J706" i="7"/>
  <c r="K706" i="7" s="1"/>
  <c r="F706" i="7"/>
  <c r="J673" i="7"/>
  <c r="F673" i="7"/>
  <c r="F672" i="7" s="1"/>
  <c r="F671" i="7" s="1"/>
  <c r="J663" i="7"/>
  <c r="F663" i="7"/>
  <c r="J654" i="7"/>
  <c r="F654" i="7"/>
  <c r="J609" i="7"/>
  <c r="K609" i="7" s="1"/>
  <c r="F609" i="7"/>
  <c r="J599" i="7"/>
  <c r="K599" i="7" s="1"/>
  <c r="F599" i="7"/>
  <c r="J586" i="7"/>
  <c r="K586" i="7" s="1"/>
  <c r="F586" i="7"/>
  <c r="J583" i="7"/>
  <c r="K583" i="7" s="1"/>
  <c r="F583" i="7"/>
  <c r="J580" i="7"/>
  <c r="K580" i="7" s="1"/>
  <c r="F580" i="7"/>
  <c r="J562" i="7"/>
  <c r="K562" i="7" s="1"/>
  <c r="F562" i="7"/>
  <c r="J559" i="7"/>
  <c r="K559" i="7" s="1"/>
  <c r="F559" i="7"/>
  <c r="J538" i="7"/>
  <c r="K538" i="7" s="1"/>
  <c r="F538" i="7"/>
  <c r="J535" i="7"/>
  <c r="K535" i="7" s="1"/>
  <c r="F535" i="7"/>
  <c r="J530" i="7"/>
  <c r="K530" i="7" s="1"/>
  <c r="F530" i="7"/>
  <c r="J494" i="7"/>
  <c r="K494" i="7" s="1"/>
  <c r="F494" i="7"/>
  <c r="J491" i="7"/>
  <c r="F491" i="7"/>
  <c r="D602" i="9" s="1"/>
  <c r="J482" i="7"/>
  <c r="K482" i="7" s="1"/>
  <c r="F482" i="7"/>
  <c r="J319" i="7"/>
  <c r="K319" i="7" s="1"/>
  <c r="J316" i="7"/>
  <c r="K316" i="7" s="1"/>
  <c r="F316" i="7"/>
  <c r="J313" i="7"/>
  <c r="K313" i="7" s="1"/>
  <c r="F313" i="7"/>
  <c r="J288" i="7"/>
  <c r="K288" i="7" s="1"/>
  <c r="F288" i="7"/>
  <c r="J162" i="7"/>
  <c r="K162" i="7" s="1"/>
  <c r="F162" i="7"/>
  <c r="J149" i="7"/>
  <c r="K149" i="7" s="1"/>
  <c r="F149" i="7"/>
  <c r="J146" i="7"/>
  <c r="K146" i="7" s="1"/>
  <c r="F146" i="7"/>
  <c r="J143" i="7"/>
  <c r="K143" i="7" s="1"/>
  <c r="F143" i="7"/>
  <c r="J138" i="7"/>
  <c r="K138" i="7" s="1"/>
  <c r="AF67" i="2"/>
  <c r="AG67" i="2" s="1"/>
  <c r="AD67" i="2"/>
  <c r="J116" i="7"/>
  <c r="K116" i="7" s="1"/>
  <c r="F116" i="7"/>
  <c r="J113" i="7"/>
  <c r="F113" i="7"/>
  <c r="D475" i="9" s="1"/>
  <c r="D474" i="9" s="1"/>
  <c r="D473" i="9" s="1"/>
  <c r="J110" i="7"/>
  <c r="K110" i="7" s="1"/>
  <c r="F110" i="7"/>
  <c r="J107" i="7"/>
  <c r="K107" i="7" s="1"/>
  <c r="F107" i="7"/>
  <c r="J98" i="7"/>
  <c r="K98" i="7" s="1"/>
  <c r="F98" i="7"/>
  <c r="J95" i="7"/>
  <c r="K95" i="7" s="1"/>
  <c r="F95" i="7"/>
  <c r="J88" i="7"/>
  <c r="F88" i="7"/>
  <c r="J42" i="7"/>
  <c r="K42" i="7" s="1"/>
  <c r="F42" i="7"/>
  <c r="J39" i="7"/>
  <c r="K39" i="7" s="1"/>
  <c r="F39" i="7"/>
  <c r="J36" i="7"/>
  <c r="K36" i="7" s="1"/>
  <c r="F36" i="7"/>
  <c r="J32" i="7"/>
  <c r="K32" i="7" s="1"/>
  <c r="F32" i="7"/>
  <c r="J29" i="7"/>
  <c r="K29" i="7" s="1"/>
  <c r="F29" i="7"/>
  <c r="K88" i="7" l="1"/>
  <c r="F434" i="9"/>
  <c r="G434" i="9" s="1"/>
  <c r="F122" i="9"/>
  <c r="K830" i="7"/>
  <c r="F124" i="9"/>
  <c r="K832" i="7"/>
  <c r="L654" i="7"/>
  <c r="M654" i="7" s="1"/>
  <c r="K654" i="7"/>
  <c r="F126" i="9"/>
  <c r="K834" i="7"/>
  <c r="F602" i="9"/>
  <c r="G602" i="9" s="1"/>
  <c r="K491" i="7"/>
  <c r="F172" i="9"/>
  <c r="G172" i="9" s="1"/>
  <c r="K663" i="7"/>
  <c r="F475" i="9"/>
  <c r="K113" i="7"/>
  <c r="J672" i="7"/>
  <c r="K673" i="7"/>
  <c r="D119" i="9"/>
  <c r="D593" i="9"/>
  <c r="D120" i="9"/>
  <c r="F119" i="9"/>
  <c r="G119" i="9" s="1"/>
  <c r="F125" i="9" l="1"/>
  <c r="G126" i="9"/>
  <c r="F121" i="9"/>
  <c r="G121" i="9" s="1"/>
  <c r="G122" i="9"/>
  <c r="F474" i="9"/>
  <c r="G475" i="9"/>
  <c r="F123" i="9"/>
  <c r="G123" i="9" s="1"/>
  <c r="G124" i="9"/>
  <c r="J671" i="7"/>
  <c r="K671" i="7" s="1"/>
  <c r="K672" i="7"/>
  <c r="AF1039" i="2"/>
  <c r="AD1039" i="2"/>
  <c r="AD1038" i="2" s="1"/>
  <c r="AF954" i="2"/>
  <c r="AD954" i="2"/>
  <c r="AD953" i="2" s="1"/>
  <c r="AF1047" i="2"/>
  <c r="AD1047" i="2"/>
  <c r="AD1046" i="2" s="1"/>
  <c r="AD1045" i="2" s="1"/>
  <c r="AD1044" i="2" s="1"/>
  <c r="AD1043" i="2" s="1"/>
  <c r="AD1042" i="2" s="1"/>
  <c r="AD1041" i="2" s="1"/>
  <c r="AF1036" i="2"/>
  <c r="AD1036" i="2"/>
  <c r="AD1035" i="2" s="1"/>
  <c r="AF1033" i="2"/>
  <c r="AD1033" i="2"/>
  <c r="AD1032" i="2" s="1"/>
  <c r="AF1030" i="2"/>
  <c r="AD1030" i="2"/>
  <c r="AD1029" i="2" s="1"/>
  <c r="AF1012" i="2"/>
  <c r="AD1012" i="2"/>
  <c r="AD1011" i="2" s="1"/>
  <c r="AD1010" i="2" s="1"/>
  <c r="AD1009" i="2" s="1"/>
  <c r="AD1008" i="2" s="1"/>
  <c r="AD1007" i="2" s="1"/>
  <c r="AF995" i="2"/>
  <c r="AD995" i="2"/>
  <c r="AD994" i="2" s="1"/>
  <c r="AF992" i="2"/>
  <c r="AD992" i="2"/>
  <c r="AD991" i="2" s="1"/>
  <c r="AF987" i="2"/>
  <c r="AD987" i="2"/>
  <c r="AD986" i="2" s="1"/>
  <c r="AF951" i="2"/>
  <c r="AD951" i="2"/>
  <c r="AD950" i="2" s="1"/>
  <c r="AF942" i="2"/>
  <c r="AD942" i="2"/>
  <c r="AD941" i="2" s="1"/>
  <c r="AD940" i="2" s="1"/>
  <c r="AF877" i="2"/>
  <c r="AD877" i="2"/>
  <c r="AD876" i="2" s="1"/>
  <c r="AD875" i="2" s="1"/>
  <c r="AD874" i="2" s="1"/>
  <c r="AD873" i="2" s="1"/>
  <c r="AD872" i="2" s="1"/>
  <c r="AF859" i="2"/>
  <c r="AF856" i="2"/>
  <c r="AD856" i="2"/>
  <c r="AD855" i="2" s="1"/>
  <c r="AF853" i="2"/>
  <c r="AD853" i="2"/>
  <c r="AD852" i="2" s="1"/>
  <c r="AF846" i="2"/>
  <c r="AG846" i="2" s="1"/>
  <c r="AD846" i="2"/>
  <c r="AF819" i="2"/>
  <c r="AG819" i="2" s="1"/>
  <c r="AD819" i="2"/>
  <c r="AF817" i="2"/>
  <c r="AG817" i="2" s="1"/>
  <c r="AD817" i="2"/>
  <c r="AF815" i="2"/>
  <c r="AG815" i="2" s="1"/>
  <c r="AD815" i="2"/>
  <c r="AF808" i="2"/>
  <c r="AD808" i="2"/>
  <c r="AD807" i="2" s="1"/>
  <c r="AD806" i="2" s="1"/>
  <c r="AD805" i="2" s="1"/>
  <c r="AD804" i="2" s="1"/>
  <c r="AD803" i="2" s="1"/>
  <c r="AF788" i="2"/>
  <c r="AD788" i="2"/>
  <c r="AD787" i="2" s="1"/>
  <c r="AF781" i="2"/>
  <c r="AD781" i="2"/>
  <c r="AD780" i="2" s="1"/>
  <c r="AF778" i="2"/>
  <c r="AD778" i="2"/>
  <c r="AD777" i="2" s="1"/>
  <c r="AF773" i="2"/>
  <c r="AD773" i="2"/>
  <c r="AD772" i="2" s="1"/>
  <c r="AD750" i="2"/>
  <c r="AF742" i="2"/>
  <c r="AD742" i="2"/>
  <c r="AD741" i="2" s="1"/>
  <c r="AF733" i="2"/>
  <c r="AD733" i="2"/>
  <c r="AD732" i="2" s="1"/>
  <c r="AD731" i="2" s="1"/>
  <c r="AD730" i="2" s="1"/>
  <c r="AF697" i="2"/>
  <c r="AD697" i="2"/>
  <c r="AD696" i="2" s="1"/>
  <c r="AD695" i="2" s="1"/>
  <c r="AF687" i="2"/>
  <c r="AD687" i="2"/>
  <c r="AD686" i="2" s="1"/>
  <c r="AF674" i="2"/>
  <c r="AD674" i="2"/>
  <c r="AD673" i="2" s="1"/>
  <c r="AF671" i="2"/>
  <c r="AD671" i="2"/>
  <c r="AD670" i="2" s="1"/>
  <c r="AF668" i="2"/>
  <c r="AD668" i="2"/>
  <c r="AD667" i="2" s="1"/>
  <c r="AF645" i="2"/>
  <c r="AD645" i="2"/>
  <c r="AD644" i="2" s="1"/>
  <c r="AF642" i="2"/>
  <c r="AD642" i="2"/>
  <c r="AD641" i="2" s="1"/>
  <c r="AD640" i="2" s="1"/>
  <c r="AF630" i="2"/>
  <c r="AD630" i="2"/>
  <c r="AD629" i="2" s="1"/>
  <c r="AD628" i="2" s="1"/>
  <c r="AD627" i="2" s="1"/>
  <c r="AD626" i="2" s="1"/>
  <c r="AD625" i="2" s="1"/>
  <c r="AD624" i="2" s="1"/>
  <c r="AF618" i="2"/>
  <c r="AD618" i="2"/>
  <c r="AD617" i="2" s="1"/>
  <c r="AD616" i="2" s="1"/>
  <c r="AD615" i="2" s="1"/>
  <c r="AF611" i="2"/>
  <c r="AD611" i="2"/>
  <c r="AD610" i="2" s="1"/>
  <c r="AD609" i="2" s="1"/>
  <c r="AD608" i="2" s="1"/>
  <c r="AD607" i="2" s="1"/>
  <c r="AD606" i="2" s="1"/>
  <c r="AF591" i="2"/>
  <c r="AG591" i="2" s="1"/>
  <c r="AD591" i="2"/>
  <c r="AB591" i="2"/>
  <c r="AB590" i="2" s="1"/>
  <c r="AF590" i="2"/>
  <c r="AG590" i="2" s="1"/>
  <c r="AD590" i="2"/>
  <c r="AF588" i="2"/>
  <c r="AG588" i="2" s="1"/>
  <c r="AD588" i="2"/>
  <c r="AB588" i="2"/>
  <c r="AB587" i="2" s="1"/>
  <c r="AF587" i="2"/>
  <c r="AG587" i="2" s="1"/>
  <c r="AD587" i="2"/>
  <c r="AF585" i="2"/>
  <c r="AD585" i="2"/>
  <c r="AD584" i="2" s="1"/>
  <c r="AF580" i="2"/>
  <c r="AG580" i="2" s="1"/>
  <c r="AD580" i="2"/>
  <c r="AF578" i="2"/>
  <c r="AG578" i="2" s="1"/>
  <c r="AD578" i="2"/>
  <c r="AF574" i="2"/>
  <c r="AD574" i="2"/>
  <c r="AD573" i="2" s="1"/>
  <c r="AD572" i="2" s="1"/>
  <c r="F473" i="9" l="1"/>
  <c r="G473" i="9" s="1"/>
  <c r="G474" i="9"/>
  <c r="F120" i="9"/>
  <c r="G120" i="9" s="1"/>
  <c r="G125" i="9"/>
  <c r="AF941" i="2"/>
  <c r="AF940" i="2" s="1"/>
  <c r="AG940" i="2" s="1"/>
  <c r="AG942" i="2"/>
  <c r="AF1029" i="2"/>
  <c r="AG1029" i="2" s="1"/>
  <c r="AG1030" i="2"/>
  <c r="AF667" i="2"/>
  <c r="AG667" i="2" s="1"/>
  <c r="AG668" i="2"/>
  <c r="AF787" i="2"/>
  <c r="AG787" i="2" s="1"/>
  <c r="AG788" i="2"/>
  <c r="AF986" i="2"/>
  <c r="AG986" i="2" s="1"/>
  <c r="AG987" i="2"/>
  <c r="AF1035" i="2"/>
  <c r="AG1035" i="2" s="1"/>
  <c r="AG1036" i="2"/>
  <c r="AF732" i="2"/>
  <c r="AG733" i="2"/>
  <c r="AF991" i="2"/>
  <c r="AG991" i="2" s="1"/>
  <c r="AG992" i="2"/>
  <c r="AF1046" i="2"/>
  <c r="AG1047" i="2"/>
  <c r="AF741" i="2"/>
  <c r="AG741" i="2" s="1"/>
  <c r="AG742" i="2"/>
  <c r="AF584" i="2"/>
  <c r="AG584" i="2" s="1"/>
  <c r="AG585" i="2"/>
  <c r="AF670" i="2"/>
  <c r="AG670" i="2" s="1"/>
  <c r="AG671" i="2"/>
  <c r="AF617" i="2"/>
  <c r="AG618" i="2"/>
  <c r="AF673" i="2"/>
  <c r="AG673" i="2" s="1"/>
  <c r="AG674" i="2"/>
  <c r="AF772" i="2"/>
  <c r="AG772" i="2" s="1"/>
  <c r="AG773" i="2"/>
  <c r="AF807" i="2"/>
  <c r="AG808" i="2"/>
  <c r="AF855" i="2"/>
  <c r="AG855" i="2" s="1"/>
  <c r="AG856" i="2"/>
  <c r="AF852" i="2"/>
  <c r="AG852" i="2" s="1"/>
  <c r="AG853" i="2"/>
  <c r="AF858" i="2"/>
  <c r="AG858" i="2" s="1"/>
  <c r="AG859" i="2"/>
  <c r="AF994" i="2"/>
  <c r="AG994" i="2" s="1"/>
  <c r="AG995" i="2"/>
  <c r="AF777" i="2"/>
  <c r="AG777" i="2" s="1"/>
  <c r="AG778" i="2"/>
  <c r="AF953" i="2"/>
  <c r="AG954" i="2"/>
  <c r="AF644" i="2"/>
  <c r="AG644" i="2" s="1"/>
  <c r="AG645" i="2"/>
  <c r="AF950" i="2"/>
  <c r="AG950" i="2" s="1"/>
  <c r="AG951" i="2"/>
  <c r="AF686" i="2"/>
  <c r="AF685" i="2" s="1"/>
  <c r="AG685" i="2" s="1"/>
  <c r="AG687" i="2"/>
  <c r="AF876" i="2"/>
  <c r="AG877" i="2"/>
  <c r="AF1011" i="2"/>
  <c r="AG1012" i="2"/>
  <c r="AF1032" i="2"/>
  <c r="AG1032" i="2" s="1"/>
  <c r="AG1033" i="2"/>
  <c r="AF610" i="2"/>
  <c r="AG611" i="2"/>
  <c r="AF629" i="2"/>
  <c r="AG630" i="2"/>
  <c r="AD636" i="2"/>
  <c r="AD635" i="2" s="1"/>
  <c r="AF573" i="2"/>
  <c r="AG574" i="2"/>
  <c r="AF641" i="2"/>
  <c r="AG642" i="2"/>
  <c r="AF696" i="2"/>
  <c r="AG697" i="2"/>
  <c r="AF780" i="2"/>
  <c r="AG780" i="2" s="1"/>
  <c r="AG781" i="2"/>
  <c r="AF1038" i="2"/>
  <c r="AG1038" i="2" s="1"/>
  <c r="AG1039" i="2"/>
  <c r="AD740" i="2"/>
  <c r="AD945" i="2"/>
  <c r="AD944" i="2" s="1"/>
  <c r="AD843" i="2"/>
  <c r="AD842" i="2" s="1"/>
  <c r="AD841" i="2" s="1"/>
  <c r="AD840" i="2" s="1"/>
  <c r="AD839" i="2" s="1"/>
  <c r="AF843" i="2"/>
  <c r="AD791" i="2"/>
  <c r="AD790" i="2" s="1"/>
  <c r="AD786" i="2" s="1"/>
  <c r="AD785" i="2" s="1"/>
  <c r="F729" i="7"/>
  <c r="AF791" i="2"/>
  <c r="J729" i="7"/>
  <c r="K729" i="7" s="1"/>
  <c r="J605" i="7"/>
  <c r="K605" i="7" s="1"/>
  <c r="AD937" i="2"/>
  <c r="F478" i="7"/>
  <c r="AD935" i="2"/>
  <c r="AD934" i="2" s="1"/>
  <c r="F475" i="7"/>
  <c r="AF937" i="2"/>
  <c r="AG937" i="2" s="1"/>
  <c r="J478" i="7"/>
  <c r="K478" i="7" s="1"/>
  <c r="AD1022" i="2"/>
  <c r="AD1021" i="2" s="1"/>
  <c r="F843" i="7"/>
  <c r="AD859" i="2"/>
  <c r="AD858" i="2" s="1"/>
  <c r="AD851" i="2" s="1"/>
  <c r="AD850" i="2" s="1"/>
  <c r="F319" i="7"/>
  <c r="AD693" i="2"/>
  <c r="AD692" i="2" s="1"/>
  <c r="AD685" i="2" s="1"/>
  <c r="F605" i="7"/>
  <c r="AF935" i="2"/>
  <c r="J475" i="7"/>
  <c r="K475" i="7" s="1"/>
  <c r="AF1022" i="2"/>
  <c r="J843" i="7"/>
  <c r="K843" i="7" s="1"/>
  <c r="AD1028" i="2"/>
  <c r="AD1027" i="2" s="1"/>
  <c r="AD583" i="2"/>
  <c r="AD582" i="2" s="1"/>
  <c r="AF577" i="2"/>
  <c r="AF814" i="2"/>
  <c r="AD985" i="2"/>
  <c r="AD984" i="2" s="1"/>
  <c r="AD577" i="2"/>
  <c r="AD576" i="2" s="1"/>
  <c r="AD814" i="2"/>
  <c r="AD813" i="2" s="1"/>
  <c r="AD812" i="2" s="1"/>
  <c r="AD811" i="2" s="1"/>
  <c r="AD810" i="2" s="1"/>
  <c r="AD802" i="2" s="1"/>
  <c r="AD666" i="2"/>
  <c r="AD662" i="2" s="1"/>
  <c r="AD614" i="2"/>
  <c r="AD613" i="2" s="1"/>
  <c r="AD605" i="2" s="1"/>
  <c r="AD771" i="2"/>
  <c r="AF565" i="2"/>
  <c r="AD565" i="2"/>
  <c r="AD564" i="2" s="1"/>
  <c r="AD563" i="2" s="1"/>
  <c r="AD562" i="2" s="1"/>
  <c r="AD561" i="2" s="1"/>
  <c r="AD560" i="2" s="1"/>
  <c r="AD559" i="2" s="1"/>
  <c r="AF544" i="2"/>
  <c r="AG544" i="2" s="1"/>
  <c r="AD544" i="2"/>
  <c r="AB544" i="2"/>
  <c r="AB543" i="2" s="1"/>
  <c r="AF543" i="2"/>
  <c r="AG543" i="2" s="1"/>
  <c r="AD543" i="2"/>
  <c r="AF541" i="2"/>
  <c r="AG541" i="2" s="1"/>
  <c r="AD541" i="2"/>
  <c r="AB541" i="2"/>
  <c r="AB540" i="2" s="1"/>
  <c r="AF540" i="2"/>
  <c r="AG540" i="2" s="1"/>
  <c r="AD540" i="2"/>
  <c r="AF534" i="2"/>
  <c r="AD534" i="2"/>
  <c r="AD533" i="2" s="1"/>
  <c r="AF583" i="2" l="1"/>
  <c r="AD770" i="2"/>
  <c r="AD769" i="2" s="1"/>
  <c r="AD768" i="2" s="1"/>
  <c r="AG953" i="2"/>
  <c r="AF945" i="2"/>
  <c r="AF944" i="2" s="1"/>
  <c r="AF985" i="2"/>
  <c r="AG985" i="2" s="1"/>
  <c r="AF740" i="2"/>
  <c r="AF736" i="2" s="1"/>
  <c r="AG736" i="2" s="1"/>
  <c r="AF842" i="2"/>
  <c r="AG843" i="2"/>
  <c r="AF934" i="2"/>
  <c r="AG934" i="2" s="1"/>
  <c r="AG935" i="2"/>
  <c r="AF666" i="2"/>
  <c r="AF695" i="2"/>
  <c r="AG695" i="2" s="1"/>
  <c r="AG696" i="2"/>
  <c r="AF576" i="2"/>
  <c r="AG576" i="2" s="1"/>
  <c r="AG577" i="2"/>
  <c r="AG945" i="2"/>
  <c r="AF640" i="2"/>
  <c r="AG641" i="2"/>
  <c r="AF1010" i="2"/>
  <c r="AG1011" i="2"/>
  <c r="AF806" i="2"/>
  <c r="AG807" i="2"/>
  <c r="AF609" i="2"/>
  <c r="AG610" i="2"/>
  <c r="AF572" i="2"/>
  <c r="AG572" i="2" s="1"/>
  <c r="AG573" i="2"/>
  <c r="AF875" i="2"/>
  <c r="AG876" i="2"/>
  <c r="AF1045" i="2"/>
  <c r="AG1046" i="2"/>
  <c r="AF813" i="2"/>
  <c r="AG814" i="2"/>
  <c r="AF750" i="2"/>
  <c r="AG750" i="2" s="1"/>
  <c r="AF790" i="2"/>
  <c r="AG791" i="2"/>
  <c r="AF851" i="2"/>
  <c r="AF1028" i="2"/>
  <c r="AF628" i="2"/>
  <c r="AG629" i="2"/>
  <c r="AG686" i="2"/>
  <c r="AG885" i="2"/>
  <c r="AG886" i="2"/>
  <c r="AF582" i="2"/>
  <c r="AG582" i="2" s="1"/>
  <c r="AG583" i="2"/>
  <c r="AF771" i="2"/>
  <c r="AF770" i="2" s="1"/>
  <c r="AG770" i="2" s="1"/>
  <c r="AF1021" i="2"/>
  <c r="AG1021" i="2" s="1"/>
  <c r="AG1022" i="2"/>
  <c r="AF616" i="2"/>
  <c r="AG617" i="2"/>
  <c r="AF731" i="2"/>
  <c r="AG732" i="2"/>
  <c r="AG941" i="2"/>
  <c r="AF564" i="2"/>
  <c r="AG565" i="2"/>
  <c r="AG534" i="2"/>
  <c r="AF533" i="2"/>
  <c r="AG533" i="2" s="1"/>
  <c r="AD736" i="2"/>
  <c r="AD735" i="2" s="1"/>
  <c r="AD729" i="2" s="1"/>
  <c r="AD728" i="2" s="1"/>
  <c r="AD1017" i="2"/>
  <c r="AD1016" i="2" s="1"/>
  <c r="AD1015" i="2" s="1"/>
  <c r="AD1014" i="2" s="1"/>
  <c r="AD1006" i="2" s="1"/>
  <c r="AD927" i="2"/>
  <c r="AD926" i="2" s="1"/>
  <c r="AD925" i="2" s="1"/>
  <c r="AD918" i="2" s="1"/>
  <c r="AD1026" i="2"/>
  <c r="AD1025" i="2" s="1"/>
  <c r="AD1024" i="2" s="1"/>
  <c r="AD661" i="2"/>
  <c r="AD784" i="2"/>
  <c r="AD783" i="2" s="1"/>
  <c r="AD983" i="2"/>
  <c r="AD849" i="2"/>
  <c r="AD886" i="2"/>
  <c r="AD885" i="2" s="1"/>
  <c r="AD532" i="2"/>
  <c r="AD531" i="2" s="1"/>
  <c r="AD530" i="2" s="1"/>
  <c r="AD571" i="2"/>
  <c r="AD570" i="2" s="1"/>
  <c r="AD569" i="2" s="1"/>
  <c r="AD568" i="2" s="1"/>
  <c r="AD567" i="2" s="1"/>
  <c r="AD767" i="2" l="1"/>
  <c r="AG740" i="2"/>
  <c r="AF984" i="2"/>
  <c r="AF983" i="2" s="1"/>
  <c r="AG983" i="2" s="1"/>
  <c r="AF927" i="2"/>
  <c r="AF926" i="2" s="1"/>
  <c r="AF571" i="2"/>
  <c r="AF1027" i="2"/>
  <c r="AG1028" i="2"/>
  <c r="AF850" i="2"/>
  <c r="AG851" i="2"/>
  <c r="AF735" i="2"/>
  <c r="AF786" i="2"/>
  <c r="AG790" i="2"/>
  <c r="AF608" i="2"/>
  <c r="AG609" i="2"/>
  <c r="AF812" i="2"/>
  <c r="AG813" i="2"/>
  <c r="AF805" i="2"/>
  <c r="AG806" i="2"/>
  <c r="AF662" i="2"/>
  <c r="AF661" i="2" s="1"/>
  <c r="AF660" i="2" s="1"/>
  <c r="AF659" i="2" s="1"/>
  <c r="AG666" i="2"/>
  <c r="AF570" i="2"/>
  <c r="AG571" i="2"/>
  <c r="AF730" i="2"/>
  <c r="AG730" i="2" s="1"/>
  <c r="AG731" i="2"/>
  <c r="AF769" i="2"/>
  <c r="AF768" i="2" s="1"/>
  <c r="AG771" i="2"/>
  <c r="AF1044" i="2"/>
  <c r="AG1045" i="2"/>
  <c r="AF1009" i="2"/>
  <c r="AG1010" i="2"/>
  <c r="AF1017" i="2"/>
  <c r="AF615" i="2"/>
  <c r="AG616" i="2"/>
  <c r="AF627" i="2"/>
  <c r="AG628" i="2"/>
  <c r="AF874" i="2"/>
  <c r="AG875" i="2"/>
  <c r="AG640" i="2"/>
  <c r="AF636" i="2"/>
  <c r="AF841" i="2"/>
  <c r="AG842" i="2"/>
  <c r="AF563" i="2"/>
  <c r="AG564" i="2"/>
  <c r="AF532" i="2"/>
  <c r="AD529" i="2"/>
  <c r="AD528" i="2" s="1"/>
  <c r="AD975" i="2"/>
  <c r="AD968" i="2" s="1"/>
  <c r="AD634" i="2"/>
  <c r="AD633" i="2" s="1"/>
  <c r="AD660" i="2"/>
  <c r="AD659" i="2" s="1"/>
  <c r="AD848" i="2"/>
  <c r="AD838" i="2" s="1"/>
  <c r="AG984" i="2" l="1"/>
  <c r="AG927" i="2"/>
  <c r="AG926" i="2"/>
  <c r="AF1016" i="2"/>
  <c r="AG1017" i="2"/>
  <c r="AG786" i="2"/>
  <c r="AF785" i="2"/>
  <c r="AF626" i="2"/>
  <c r="AG627" i="2"/>
  <c r="AF729" i="2"/>
  <c r="AF728" i="2" s="1"/>
  <c r="AG735" i="2"/>
  <c r="AG662" i="2"/>
  <c r="AF873" i="2"/>
  <c r="AG874" i="2"/>
  <c r="AG615" i="2"/>
  <c r="AF614" i="2"/>
  <c r="AG636" i="2"/>
  <c r="AF635" i="2"/>
  <c r="AF1043" i="2"/>
  <c r="AG1044" i="2"/>
  <c r="AF804" i="2"/>
  <c r="AG805" i="2"/>
  <c r="AG850" i="2"/>
  <c r="AF849" i="2"/>
  <c r="AF607" i="2"/>
  <c r="AG608" i="2"/>
  <c r="AF840" i="2"/>
  <c r="AG841" i="2"/>
  <c r="AF569" i="2"/>
  <c r="AG570" i="2"/>
  <c r="AF1008" i="2"/>
  <c r="AG1009" i="2"/>
  <c r="AF975" i="2"/>
  <c r="AF811" i="2"/>
  <c r="AG812" i="2"/>
  <c r="AG1027" i="2"/>
  <c r="AF1026" i="2"/>
  <c r="AF562" i="2"/>
  <c r="AG563" i="2"/>
  <c r="AF531" i="2"/>
  <c r="AG532" i="2"/>
  <c r="AD527" i="2"/>
  <c r="AD526" i="2" s="1"/>
  <c r="AD632" i="2"/>
  <c r="AD623" i="2" s="1"/>
  <c r="AF524" i="2"/>
  <c r="AD524" i="2"/>
  <c r="AD523" i="2" s="1"/>
  <c r="AD522" i="2" s="1"/>
  <c r="AD521" i="2" s="1"/>
  <c r="AD520" i="2" s="1"/>
  <c r="AF516" i="2"/>
  <c r="AD516" i="2"/>
  <c r="AD515" i="2" s="1"/>
  <c r="AF513" i="2"/>
  <c r="AD513" i="2"/>
  <c r="AD512" i="2" s="1"/>
  <c r="AF510" i="2"/>
  <c r="AD510" i="2"/>
  <c r="AD509" i="2" s="1"/>
  <c r="AF506" i="2"/>
  <c r="AG506" i="2" s="1"/>
  <c r="AD506" i="2"/>
  <c r="AF505" i="2"/>
  <c r="AG505" i="2" s="1"/>
  <c r="AD505" i="2"/>
  <c r="AF968" i="2" l="1"/>
  <c r="AG968" i="2" s="1"/>
  <c r="AG975" i="2"/>
  <c r="AF848" i="2"/>
  <c r="AG849" i="2"/>
  <c r="AF810" i="2"/>
  <c r="AG811" i="2"/>
  <c r="AF803" i="2"/>
  <c r="AG803" i="2" s="1"/>
  <c r="AG804" i="2"/>
  <c r="AF1007" i="2"/>
  <c r="AG1007" i="2" s="1"/>
  <c r="AG1008" i="2"/>
  <c r="AG729" i="2"/>
  <c r="AG728" i="2"/>
  <c r="AG661" i="2"/>
  <c r="AG769" i="2"/>
  <c r="AG569" i="2"/>
  <c r="AF568" i="2"/>
  <c r="AF625" i="2"/>
  <c r="AG626" i="2"/>
  <c r="AF1042" i="2"/>
  <c r="AG1043" i="2"/>
  <c r="AF613" i="2"/>
  <c r="AG614" i="2"/>
  <c r="AF784" i="2"/>
  <c r="AG785" i="2"/>
  <c r="AG635" i="2"/>
  <c r="AF634" i="2"/>
  <c r="AF1025" i="2"/>
  <c r="AG1026" i="2"/>
  <c r="AF839" i="2"/>
  <c r="AG839" i="2" s="1"/>
  <c r="AG840" i="2"/>
  <c r="AF606" i="2"/>
  <c r="AG606" i="2" s="1"/>
  <c r="AG607" i="2"/>
  <c r="AF872" i="2"/>
  <c r="AG872" i="2" s="1"/>
  <c r="AG873" i="2"/>
  <c r="AF1015" i="2"/>
  <c r="AG1016" i="2"/>
  <c r="AG513" i="2"/>
  <c r="AF512" i="2"/>
  <c r="AG512" i="2" s="1"/>
  <c r="AF561" i="2"/>
  <c r="AG562" i="2"/>
  <c r="AF530" i="2"/>
  <c r="AG531" i="2"/>
  <c r="AF523" i="2"/>
  <c r="AG524" i="2"/>
  <c r="AF515" i="2"/>
  <c r="AG515" i="2" s="1"/>
  <c r="AG516" i="2"/>
  <c r="AF509" i="2"/>
  <c r="AG509" i="2" s="1"/>
  <c r="AG510" i="2"/>
  <c r="AD871" i="2"/>
  <c r="AD821" i="2" s="1"/>
  <c r="AD508" i="2"/>
  <c r="AD501" i="2" s="1"/>
  <c r="AD494" i="2" s="1"/>
  <c r="AD519" i="2"/>
  <c r="AD518" i="2" s="1"/>
  <c r="AF1041" i="2" l="1"/>
  <c r="AG1041" i="2" s="1"/>
  <c r="AG1042" i="2"/>
  <c r="AF605" i="2"/>
  <c r="AG605" i="2" s="1"/>
  <c r="AG613" i="2"/>
  <c r="AF624" i="2"/>
  <c r="AG624" i="2" s="1"/>
  <c r="AG625" i="2"/>
  <c r="AG568" i="2"/>
  <c r="AG1025" i="2"/>
  <c r="AF802" i="2"/>
  <c r="AG802" i="2" s="1"/>
  <c r="AG810" i="2"/>
  <c r="AF633" i="2"/>
  <c r="AG634" i="2"/>
  <c r="AG768" i="2"/>
  <c r="AF838" i="2"/>
  <c r="AG838" i="2" s="1"/>
  <c r="AG848" i="2"/>
  <c r="AF508" i="2"/>
  <c r="AF501" i="2" s="1"/>
  <c r="AF1014" i="2"/>
  <c r="AG1015" i="2"/>
  <c r="AF783" i="2"/>
  <c r="AF767" i="2" s="1"/>
  <c r="AG767" i="2" s="1"/>
  <c r="AG784" i="2"/>
  <c r="AG659" i="2"/>
  <c r="AG660" i="2"/>
  <c r="AF560" i="2"/>
  <c r="AG561" i="2"/>
  <c r="AG530" i="2"/>
  <c r="AF529" i="2"/>
  <c r="AF522" i="2"/>
  <c r="AG523" i="2"/>
  <c r="AD493" i="2"/>
  <c r="AD492" i="2" s="1"/>
  <c r="AG783" i="2" l="1"/>
  <c r="AF1024" i="2"/>
  <c r="AG1024" i="2" s="1"/>
  <c r="AF567" i="2"/>
  <c r="AG567" i="2" s="1"/>
  <c r="AF494" i="2"/>
  <c r="AF493" i="2" s="1"/>
  <c r="AG501" i="2"/>
  <c r="AF1006" i="2"/>
  <c r="AG1006" i="2" s="1"/>
  <c r="AG1014" i="2"/>
  <c r="AG508" i="2"/>
  <c r="AG633" i="2"/>
  <c r="AF632" i="2"/>
  <c r="AF559" i="2"/>
  <c r="AG559" i="2" s="1"/>
  <c r="AG560" i="2"/>
  <c r="AF528" i="2"/>
  <c r="AG529" i="2"/>
  <c r="AF521" i="2"/>
  <c r="AG522" i="2"/>
  <c r="F442" i="7"/>
  <c r="J442" i="7"/>
  <c r="K442" i="7" s="1"/>
  <c r="AF623" i="2" l="1"/>
  <c r="AG623" i="2" s="1"/>
  <c r="AG632" i="2"/>
  <c r="AG494" i="2"/>
  <c r="AG493" i="2"/>
  <c r="AG528" i="2"/>
  <c r="AF527" i="2"/>
  <c r="AF520" i="2"/>
  <c r="AG521" i="2"/>
  <c r="F696" i="9"/>
  <c r="D696" i="9"/>
  <c r="D695" i="9" s="1"/>
  <c r="D694" i="9" s="1"/>
  <c r="F695" i="9" l="1"/>
  <c r="G696" i="9"/>
  <c r="AF526" i="2"/>
  <c r="AG526" i="2" s="1"/>
  <c r="AG527" i="2"/>
  <c r="AG520" i="2"/>
  <c r="AF519" i="2"/>
  <c r="F115" i="7"/>
  <c r="F114" i="7" s="1"/>
  <c r="J115" i="7"/>
  <c r="D212" i="9"/>
  <c r="D211" i="9" s="1"/>
  <c r="J493" i="7"/>
  <c r="F139" i="9"/>
  <c r="F145" i="9"/>
  <c r="F653" i="7"/>
  <c r="F652" i="7" s="1"/>
  <c r="F651" i="7" s="1"/>
  <c r="F650" i="7" s="1"/>
  <c r="D170" i="9"/>
  <c r="D182" i="9"/>
  <c r="D181" i="9" s="1"/>
  <c r="D180" i="9" s="1"/>
  <c r="D188" i="9"/>
  <c r="D187" i="9" s="1"/>
  <c r="D186" i="9" s="1"/>
  <c r="D193" i="9"/>
  <c r="D192" i="9" s="1"/>
  <c r="D191" i="9" s="1"/>
  <c r="D196" i="9"/>
  <c r="D195" i="9" s="1"/>
  <c r="D194" i="9" s="1"/>
  <c r="D601" i="9"/>
  <c r="D600" i="9" s="1"/>
  <c r="F506" i="7"/>
  <c r="D651" i="9"/>
  <c r="D650" i="9" s="1"/>
  <c r="D649" i="9" s="1"/>
  <c r="D656" i="9"/>
  <c r="D655" i="9" s="1"/>
  <c r="D654" i="9" s="1"/>
  <c r="D659" i="9"/>
  <c r="D658" i="9" s="1"/>
  <c r="D657" i="9" s="1"/>
  <c r="D592" i="9"/>
  <c r="D591" i="9" s="1"/>
  <c r="D590" i="9" s="1"/>
  <c r="F341" i="7"/>
  <c r="F349" i="7"/>
  <c r="D561" i="9" s="1"/>
  <c r="D560" i="9" s="1"/>
  <c r="D559" i="9" s="1"/>
  <c r="D558" i="9" s="1"/>
  <c r="F345" i="7"/>
  <c r="F344" i="7" s="1"/>
  <c r="F343" i="7" s="1"/>
  <c r="F342" i="7" s="1"/>
  <c r="F189" i="7"/>
  <c r="D548" i="9" s="1"/>
  <c r="D547" i="9" s="1"/>
  <c r="D546" i="9" s="1"/>
  <c r="D545" i="9" s="1"/>
  <c r="D540" i="9" s="1"/>
  <c r="F324" i="7"/>
  <c r="D538" i="9" s="1"/>
  <c r="D537" i="9" s="1"/>
  <c r="D536" i="9" s="1"/>
  <c r="D535" i="9" s="1"/>
  <c r="D534" i="9" s="1"/>
  <c r="F302" i="7"/>
  <c r="D519" i="9" s="1"/>
  <c r="D518" i="9" s="1"/>
  <c r="D517" i="9" s="1"/>
  <c r="F306" i="7"/>
  <c r="D522" i="9" s="1"/>
  <c r="D521" i="9" s="1"/>
  <c r="D520" i="9" s="1"/>
  <c r="D530" i="9"/>
  <c r="D529" i="9" s="1"/>
  <c r="D528" i="9" s="1"/>
  <c r="D527" i="9"/>
  <c r="D526" i="9" s="1"/>
  <c r="D525" i="9" s="1"/>
  <c r="F76" i="7"/>
  <c r="D482" i="9" s="1"/>
  <c r="F455" i="7"/>
  <c r="D486" i="9" s="1"/>
  <c r="D497" i="9"/>
  <c r="D496" i="9" s="1"/>
  <c r="D495" i="9" s="1"/>
  <c r="F222" i="7"/>
  <c r="F179" i="7"/>
  <c r="F178" i="7" s="1"/>
  <c r="F177" i="7" s="1"/>
  <c r="F176" i="7" s="1"/>
  <c r="F175" i="7" s="1"/>
  <c r="F174" i="7" s="1"/>
  <c r="D382" i="9"/>
  <c r="D381" i="9" s="1"/>
  <c r="F130" i="7"/>
  <c r="F132" i="7"/>
  <c r="D386" i="9" s="1"/>
  <c r="D385" i="9" s="1"/>
  <c r="F373" i="7"/>
  <c r="D391" i="9" s="1"/>
  <c r="D390" i="9" s="1"/>
  <c r="D389" i="9" s="1"/>
  <c r="F135" i="7"/>
  <c r="D402" i="9"/>
  <c r="D401" i="9" s="1"/>
  <c r="D400" i="9" s="1"/>
  <c r="D405" i="9"/>
  <c r="D404" i="9" s="1"/>
  <c r="D403" i="9" s="1"/>
  <c r="F58" i="7"/>
  <c r="D422" i="9" s="1"/>
  <c r="F63" i="7"/>
  <c r="D427" i="9" s="1"/>
  <c r="D426" i="9" s="1"/>
  <c r="D425" i="9" s="1"/>
  <c r="F66" i="7"/>
  <c r="D430" i="9" s="1"/>
  <c r="D429" i="9" s="1"/>
  <c r="D428" i="9" s="1"/>
  <c r="F229" i="7"/>
  <c r="D447" i="9" s="1"/>
  <c r="D446" i="9" s="1"/>
  <c r="D445" i="9" s="1"/>
  <c r="F154" i="7"/>
  <c r="D450" i="9" s="1"/>
  <c r="D449" i="9" s="1"/>
  <c r="D448" i="9" s="1"/>
  <c r="D458" i="9"/>
  <c r="D457" i="9" s="1"/>
  <c r="D456" i="9" s="1"/>
  <c r="F166" i="7"/>
  <c r="D462" i="9" s="1"/>
  <c r="D461" i="9" s="1"/>
  <c r="F168" i="7"/>
  <c r="D464" i="9" s="1"/>
  <c r="D463" i="9" s="1"/>
  <c r="F296" i="7"/>
  <c r="D472" i="9" s="1"/>
  <c r="D471" i="9" s="1"/>
  <c r="D470" i="9" s="1"/>
  <c r="F171" i="7"/>
  <c r="D467" i="9" s="1"/>
  <c r="D466" i="9" s="1"/>
  <c r="F173" i="7"/>
  <c r="D469" i="9" s="1"/>
  <c r="D468" i="9" s="1"/>
  <c r="D441" i="9"/>
  <c r="D440" i="9" s="1"/>
  <c r="D439" i="9" s="1"/>
  <c r="D444" i="9"/>
  <c r="D443" i="9" s="1"/>
  <c r="D442" i="9" s="1"/>
  <c r="D413" i="9"/>
  <c r="D412" i="9" s="1"/>
  <c r="D411" i="9" s="1"/>
  <c r="D410" i="9" s="1"/>
  <c r="D409" i="9" s="1"/>
  <c r="D330" i="9"/>
  <c r="D329" i="9" s="1"/>
  <c r="D328" i="9" s="1"/>
  <c r="D324" i="9" s="1"/>
  <c r="F686" i="7"/>
  <c r="D263" i="9" s="1"/>
  <c r="F278" i="7"/>
  <c r="D267" i="9" s="1"/>
  <c r="F356" i="7"/>
  <c r="D274" i="9"/>
  <c r="D273" i="9" s="1"/>
  <c r="D272" i="9" s="1"/>
  <c r="F445" i="7"/>
  <c r="D277" i="9" s="1"/>
  <c r="D276" i="9" s="1"/>
  <c r="F447" i="7"/>
  <c r="D279" i="9" s="1"/>
  <c r="D278" i="9" s="1"/>
  <c r="F359" i="7"/>
  <c r="F248" i="7"/>
  <c r="D289" i="9" s="1"/>
  <c r="D288" i="9" s="1"/>
  <c r="D287" i="9" s="1"/>
  <c r="F237" i="7"/>
  <c r="D298" i="9" s="1"/>
  <c r="D297" i="9" s="1"/>
  <c r="D296" i="9" s="1"/>
  <c r="D295" i="9" s="1"/>
  <c r="F257" i="7"/>
  <c r="D307" i="9" s="1"/>
  <c r="D306" i="9" s="1"/>
  <c r="D305" i="9" s="1"/>
  <c r="F241" i="7"/>
  <c r="D302" i="9" s="1"/>
  <c r="D301" i="9" s="1"/>
  <c r="D300" i="9" s="1"/>
  <c r="D299" i="9" s="1"/>
  <c r="F269" i="7"/>
  <c r="D257" i="9"/>
  <c r="D236" i="9"/>
  <c r="D235" i="9" s="1"/>
  <c r="D234" i="9" s="1"/>
  <c r="D233" i="9" s="1"/>
  <c r="F817" i="7"/>
  <c r="F816" i="7" s="1"/>
  <c r="D210" i="9"/>
  <c r="D209" i="9" s="1"/>
  <c r="AD351" i="2"/>
  <c r="D216" i="9"/>
  <c r="D215" i="9" s="1"/>
  <c r="D214" i="9" s="1"/>
  <c r="F861" i="7"/>
  <c r="D231" i="9" s="1"/>
  <c r="F49" i="7"/>
  <c r="F51" i="7"/>
  <c r="F50" i="7" s="1"/>
  <c r="F737" i="7"/>
  <c r="D21" i="9" s="1"/>
  <c r="D20" i="9" s="1"/>
  <c r="D19" i="9" s="1"/>
  <c r="F749" i="7"/>
  <c r="F752" i="7"/>
  <c r="D56" i="9"/>
  <c r="D55" i="9" s="1"/>
  <c r="F640" i="7"/>
  <c r="D91" i="9" s="1"/>
  <c r="D90" i="9" s="1"/>
  <c r="D89" i="9" s="1"/>
  <c r="D88" i="9" s="1"/>
  <c r="D87" i="9" s="1"/>
  <c r="D670" i="9"/>
  <c r="D669" i="9" s="1"/>
  <c r="D668" i="9" s="1"/>
  <c r="D677" i="9"/>
  <c r="D676" i="9" s="1"/>
  <c r="D675" i="9" s="1"/>
  <c r="D680" i="9"/>
  <c r="D679" i="9" s="1"/>
  <c r="D678" i="9" s="1"/>
  <c r="D683" i="9"/>
  <c r="D682" i="9" s="1"/>
  <c r="D681" i="9" s="1"/>
  <c r="D687" i="9"/>
  <c r="D686" i="9" s="1"/>
  <c r="D685" i="9" s="1"/>
  <c r="D693" i="9"/>
  <c r="D692" i="9" s="1"/>
  <c r="D691" i="9" s="1"/>
  <c r="F121" i="7"/>
  <c r="J815" i="7"/>
  <c r="J722" i="7"/>
  <c r="K722" i="7" s="1"/>
  <c r="J721" i="7"/>
  <c r="K721" i="7" s="1"/>
  <c r="J861" i="7"/>
  <c r="F231" i="9" s="1"/>
  <c r="G231" i="9" s="1"/>
  <c r="J49" i="7"/>
  <c r="K49" i="7" s="1"/>
  <c r="J51" i="7"/>
  <c r="K51" i="7" s="1"/>
  <c r="J755" i="7"/>
  <c r="J529" i="7"/>
  <c r="J537" i="7"/>
  <c r="G477" i="7"/>
  <c r="G476" i="7" s="1"/>
  <c r="G464" i="7" s="1"/>
  <c r="G601" i="7"/>
  <c r="G600" i="7" s="1"/>
  <c r="G720" i="7"/>
  <c r="J373" i="7"/>
  <c r="J481" i="7"/>
  <c r="J506" i="7"/>
  <c r="K506" i="7" s="1"/>
  <c r="J455" i="7"/>
  <c r="J445" i="7"/>
  <c r="J447" i="7"/>
  <c r="J315" i="7"/>
  <c r="J318" i="7"/>
  <c r="J324" i="7"/>
  <c r="J296" i="7"/>
  <c r="J302" i="7"/>
  <c r="J306" i="7"/>
  <c r="J356" i="7"/>
  <c r="J359" i="7"/>
  <c r="J341" i="7"/>
  <c r="K341" i="7" s="1"/>
  <c r="J349" i="7"/>
  <c r="J345" i="7"/>
  <c r="J287" i="7"/>
  <c r="K287" i="7" s="1"/>
  <c r="F182" i="9"/>
  <c r="J640" i="7"/>
  <c r="J686" i="7"/>
  <c r="K686" i="7" s="1"/>
  <c r="J692" i="7"/>
  <c r="J710" i="7"/>
  <c r="J713" i="7"/>
  <c r="J749" i="7"/>
  <c r="K749" i="7" s="1"/>
  <c r="J752" i="7"/>
  <c r="J737" i="7"/>
  <c r="J773" i="7"/>
  <c r="K773" i="7" s="1"/>
  <c r="J771" i="7"/>
  <c r="K771" i="7" s="1"/>
  <c r="J776" i="7"/>
  <c r="J781" i="7"/>
  <c r="F65" i="9" s="1"/>
  <c r="G65" i="9" s="1"/>
  <c r="J784" i="7"/>
  <c r="F68" i="9" s="1"/>
  <c r="G68" i="9" s="1"/>
  <c r="J891" i="7"/>
  <c r="J869" i="7"/>
  <c r="K869" i="7" s="1"/>
  <c r="F335" i="9"/>
  <c r="J237" i="7"/>
  <c r="J241" i="7"/>
  <c r="J248" i="7"/>
  <c r="J257" i="7"/>
  <c r="K257" i="7" s="1"/>
  <c r="J269" i="7"/>
  <c r="J278" i="7"/>
  <c r="J222" i="7"/>
  <c r="J229" i="7"/>
  <c r="AF15" i="2"/>
  <c r="J28" i="7"/>
  <c r="F673" i="9"/>
  <c r="J38" i="7"/>
  <c r="J41" i="7"/>
  <c r="J58" i="7"/>
  <c r="J63" i="7"/>
  <c r="J66" i="7"/>
  <c r="J76" i="7"/>
  <c r="J87" i="7"/>
  <c r="F441" i="9"/>
  <c r="J97" i="7"/>
  <c r="J109" i="7"/>
  <c r="J112" i="7"/>
  <c r="J120" i="7"/>
  <c r="J132" i="7"/>
  <c r="J130" i="7"/>
  <c r="K130" i="7" s="1"/>
  <c r="J142" i="7"/>
  <c r="J145" i="7"/>
  <c r="J148" i="7"/>
  <c r="J154" i="7"/>
  <c r="J161" i="7"/>
  <c r="J166" i="7"/>
  <c r="J168" i="7"/>
  <c r="J171" i="7"/>
  <c r="J173" i="7"/>
  <c r="J179" i="7"/>
  <c r="K179" i="7" s="1"/>
  <c r="L754" i="7"/>
  <c r="L601" i="7"/>
  <c r="L720" i="7"/>
  <c r="M720" i="7" s="1"/>
  <c r="G754" i="7"/>
  <c r="G753" i="7" s="1"/>
  <c r="AF376" i="2"/>
  <c r="AF379" i="2"/>
  <c r="AD376" i="2"/>
  <c r="AD375" i="2" s="1"/>
  <c r="AD379" i="2"/>
  <c r="AD378" i="2" s="1"/>
  <c r="G604" i="7"/>
  <c r="G603" i="7" s="1"/>
  <c r="G842" i="7"/>
  <c r="G841" i="7" s="1"/>
  <c r="G837" i="7" s="1"/>
  <c r="L842" i="7"/>
  <c r="AF235" i="2"/>
  <c r="AD235" i="2"/>
  <c r="AD234" i="2" s="1"/>
  <c r="AD233" i="2" s="1"/>
  <c r="AF96" i="2"/>
  <c r="AG96" i="2" s="1"/>
  <c r="AF94" i="2"/>
  <c r="AG94" i="2" s="1"/>
  <c r="AD94" i="2"/>
  <c r="AD93" i="2" s="1"/>
  <c r="F662" i="7"/>
  <c r="F170" i="9"/>
  <c r="G170" i="9" s="1"/>
  <c r="AF320" i="2"/>
  <c r="AD320" i="2"/>
  <c r="AD319" i="2" s="1"/>
  <c r="AD318" i="2" s="1"/>
  <c r="AD317" i="2" s="1"/>
  <c r="AD239" i="2"/>
  <c r="AD238" i="2" s="1"/>
  <c r="AD237" i="2" s="1"/>
  <c r="AF239" i="2"/>
  <c r="AF231" i="2"/>
  <c r="AD231" i="2"/>
  <c r="AD230" i="2" s="1"/>
  <c r="AD229" i="2" s="1"/>
  <c r="AF353" i="2"/>
  <c r="L728" i="7"/>
  <c r="J303" i="7"/>
  <c r="K303" i="7" s="1"/>
  <c r="J18" i="7"/>
  <c r="F784" i="7"/>
  <c r="F781" i="7"/>
  <c r="F303" i="7"/>
  <c r="F67" i="9"/>
  <c r="F64" i="9"/>
  <c r="E781" i="7"/>
  <c r="E783" i="7"/>
  <c r="E784" i="7"/>
  <c r="E780" i="7"/>
  <c r="B780" i="7"/>
  <c r="C780" i="7"/>
  <c r="B781" i="7"/>
  <c r="C781" i="7"/>
  <c r="B782" i="7"/>
  <c r="C782" i="7"/>
  <c r="B783" i="7"/>
  <c r="C783" i="7"/>
  <c r="B784" i="7"/>
  <c r="C784" i="7"/>
  <c r="C779" i="7"/>
  <c r="B779" i="7"/>
  <c r="A64" i="9"/>
  <c r="A65" i="9"/>
  <c r="A66" i="9"/>
  <c r="A67" i="9"/>
  <c r="A68" i="9"/>
  <c r="A63" i="9"/>
  <c r="AD408" i="2"/>
  <c r="AD407" i="2" s="1"/>
  <c r="AF408" i="2"/>
  <c r="AD411" i="2"/>
  <c r="AD410" i="2" s="1"/>
  <c r="AF411" i="2"/>
  <c r="AF249" i="2"/>
  <c r="AD249" i="2"/>
  <c r="AD248" i="2" s="1"/>
  <c r="AF69" i="2"/>
  <c r="AD69" i="2"/>
  <c r="AD64" i="2" s="1"/>
  <c r="G728" i="7"/>
  <c r="G727" i="7" s="1"/>
  <c r="AF490" i="2"/>
  <c r="AF460" i="2"/>
  <c r="AF364" i="2"/>
  <c r="AF341" i="2"/>
  <c r="AF335" i="2"/>
  <c r="AF312" i="2"/>
  <c r="AF301" i="2"/>
  <c r="AF293" i="2"/>
  <c r="AG293" i="2" s="1"/>
  <c r="AF291" i="2"/>
  <c r="AF263" i="2"/>
  <c r="AF246" i="2"/>
  <c r="AF217" i="2"/>
  <c r="AF214" i="2"/>
  <c r="AF207" i="2"/>
  <c r="AF198" i="2"/>
  <c r="AF189" i="2"/>
  <c r="AG189" i="2" s="1"/>
  <c r="AF161" i="2"/>
  <c r="AF157" i="2"/>
  <c r="AF149" i="2"/>
  <c r="AF142" i="2"/>
  <c r="AF121" i="2"/>
  <c r="AF102" i="2"/>
  <c r="AF91" i="2"/>
  <c r="AG91" i="2" s="1"/>
  <c r="AF89" i="2"/>
  <c r="AG89" i="2" s="1"/>
  <c r="AF85" i="2"/>
  <c r="AG85" i="2" s="1"/>
  <c r="AF83" i="2"/>
  <c r="AG83" i="2" s="1"/>
  <c r="AF80" i="2"/>
  <c r="AG80" i="2" s="1"/>
  <c r="AF79" i="2"/>
  <c r="AG79" i="2" s="1"/>
  <c r="AF58" i="2"/>
  <c r="AF39" i="2"/>
  <c r="AF36" i="2"/>
  <c r="AF31" i="2"/>
  <c r="AF30" i="2" s="1"/>
  <c r="AF24" i="2"/>
  <c r="AG24" i="2" s="1"/>
  <c r="AF22" i="2"/>
  <c r="AG22" i="2" s="1"/>
  <c r="AD490" i="2"/>
  <c r="AD489" i="2" s="1"/>
  <c r="AD488" i="2" s="1"/>
  <c r="AD487" i="2" s="1"/>
  <c r="AD460" i="2"/>
  <c r="AD459" i="2" s="1"/>
  <c r="AD455" i="2" s="1"/>
  <c r="AD445" i="2"/>
  <c r="AD444" i="2" s="1"/>
  <c r="AD443" i="2" s="1"/>
  <c r="AD364" i="2"/>
  <c r="AD363" i="2" s="1"/>
  <c r="AD353" i="2"/>
  <c r="AD350" i="2" s="1"/>
  <c r="AD341" i="2"/>
  <c r="AD340" i="2" s="1"/>
  <c r="AD335" i="2"/>
  <c r="AD334" i="2" s="1"/>
  <c r="AD333" i="2" s="1"/>
  <c r="AD332" i="2" s="1"/>
  <c r="AD312" i="2"/>
  <c r="AD311" i="2" s="1"/>
  <c r="AD310" i="2" s="1"/>
  <c r="AD301" i="2"/>
  <c r="AD300" i="2" s="1"/>
  <c r="AD299" i="2" s="1"/>
  <c r="AD298" i="2" s="1"/>
  <c r="AD297" i="2" s="1"/>
  <c r="AD293" i="2"/>
  <c r="AD291" i="2"/>
  <c r="AD288" i="2"/>
  <c r="AD287" i="2" s="1"/>
  <c r="AD263" i="2"/>
  <c r="AD262" i="2" s="1"/>
  <c r="AD261" i="2" s="1"/>
  <c r="AD260" i="2" s="1"/>
  <c r="AD259" i="2" s="1"/>
  <c r="AD246" i="2"/>
  <c r="AD245" i="2" s="1"/>
  <c r="AD217" i="2"/>
  <c r="AD216" i="2" s="1"/>
  <c r="AD214" i="2"/>
  <c r="AD213" i="2" s="1"/>
  <c r="AD207" i="2"/>
  <c r="AD206" i="2" s="1"/>
  <c r="AD205" i="2" s="1"/>
  <c r="AD204" i="2" s="1"/>
  <c r="AD203" i="2" s="1"/>
  <c r="AD202" i="2" s="1"/>
  <c r="AD176" i="2"/>
  <c r="AD198" i="2"/>
  <c r="AD197" i="2" s="1"/>
  <c r="AD196" i="2" s="1"/>
  <c r="AD195" i="2" s="1"/>
  <c r="AD189" i="2"/>
  <c r="AD161" i="2"/>
  <c r="AD160" i="2" s="1"/>
  <c r="AD159" i="2" s="1"/>
  <c r="AD157" i="2"/>
  <c r="AD156" i="2" s="1"/>
  <c r="AD155" i="2" s="1"/>
  <c r="AD168" i="2"/>
  <c r="AD167" i="2" s="1"/>
  <c r="AD166" i="2" s="1"/>
  <c r="AD165" i="2" s="1"/>
  <c r="AD149" i="2"/>
  <c r="AD148" i="2" s="1"/>
  <c r="AD147" i="2" s="1"/>
  <c r="AD146" i="2" s="1"/>
  <c r="AD145" i="2" s="1"/>
  <c r="AD144" i="2" s="1"/>
  <c r="AD142" i="2"/>
  <c r="AD141" i="2" s="1"/>
  <c r="AD121" i="2"/>
  <c r="AD120" i="2" s="1"/>
  <c r="AD119" i="2" s="1"/>
  <c r="AD102" i="2"/>
  <c r="AD101" i="2" s="1"/>
  <c r="AD100" i="2" s="1"/>
  <c r="AD99" i="2" s="1"/>
  <c r="AD98" i="2" s="1"/>
  <c r="AD91" i="2"/>
  <c r="AD89" i="2"/>
  <c r="AD85" i="2"/>
  <c r="AD83" i="2"/>
  <c r="AD80" i="2"/>
  <c r="AD79" i="2"/>
  <c r="AD58" i="2"/>
  <c r="AD57" i="2" s="1"/>
  <c r="AD56" i="2" s="1"/>
  <c r="AD49" i="2"/>
  <c r="AD48" i="2" s="1"/>
  <c r="AD47" i="2" s="1"/>
  <c r="AD46" i="2" s="1"/>
  <c r="AD45" i="2" s="1"/>
  <c r="AD39" i="2"/>
  <c r="AD38" i="2" s="1"/>
  <c r="AD36" i="2"/>
  <c r="AD35" i="2" s="1"/>
  <c r="AD31" i="2"/>
  <c r="AD30" i="2" s="1"/>
  <c r="AD24" i="2"/>
  <c r="AD22" i="2"/>
  <c r="AD15" i="2"/>
  <c r="AD14" i="2" s="1"/>
  <c r="AD224" i="2"/>
  <c r="AD223" i="2" s="1"/>
  <c r="AD222" i="2" s="1"/>
  <c r="AD221" i="2" s="1"/>
  <c r="AD220" i="2" s="1"/>
  <c r="AF49" i="2"/>
  <c r="AF168" i="2"/>
  <c r="AF224" i="2"/>
  <c r="AF445" i="2"/>
  <c r="AF288" i="2"/>
  <c r="D148" i="7"/>
  <c r="D147" i="7" s="1"/>
  <c r="D145" i="7"/>
  <c r="D144" i="7" s="1"/>
  <c r="B443" i="9"/>
  <c r="B442" i="9" s="1"/>
  <c r="B440" i="9"/>
  <c r="B439" i="9" s="1"/>
  <c r="B407" i="9"/>
  <c r="B406" i="9" s="1"/>
  <c r="B404" i="9"/>
  <c r="B403" i="9" s="1"/>
  <c r="D97" i="7"/>
  <c r="D96" i="7" s="1"/>
  <c r="D94" i="7"/>
  <c r="D93" i="7" s="1"/>
  <c r="K891" i="7" l="1"/>
  <c r="F413" i="9"/>
  <c r="K373" i="7"/>
  <c r="F391" i="9"/>
  <c r="G391" i="9" s="1"/>
  <c r="F144" i="9"/>
  <c r="G145" i="9"/>
  <c r="L727" i="7"/>
  <c r="M727" i="7" s="1"/>
  <c r="M728" i="7"/>
  <c r="L600" i="7"/>
  <c r="M600" i="7" s="1"/>
  <c r="M601" i="7"/>
  <c r="F138" i="9"/>
  <c r="G139" i="9"/>
  <c r="L753" i="7"/>
  <c r="M754" i="7"/>
  <c r="F334" i="9"/>
  <c r="G335" i="9"/>
  <c r="F672" i="9"/>
  <c r="G673" i="9"/>
  <c r="L841" i="7"/>
  <c r="M842" i="7"/>
  <c r="F63" i="9"/>
  <c r="G63" i="9" s="1"/>
  <c r="G64" i="9"/>
  <c r="F181" i="9"/>
  <c r="G182" i="9"/>
  <c r="F66" i="9"/>
  <c r="G66" i="9" s="1"/>
  <c r="G67" i="9"/>
  <c r="F440" i="9"/>
  <c r="G441" i="9"/>
  <c r="F780" i="7"/>
  <c r="F779" i="7" s="1"/>
  <c r="D65" i="9"/>
  <c r="D64" i="9" s="1"/>
  <c r="D63" i="9" s="1"/>
  <c r="F783" i="7"/>
  <c r="F782" i="7" s="1"/>
  <c r="D68" i="9"/>
  <c r="D67" i="9" s="1"/>
  <c r="D66" i="9" s="1"/>
  <c r="F694" i="9"/>
  <c r="G694" i="9" s="1"/>
  <c r="G695" i="9"/>
  <c r="J167" i="7"/>
  <c r="K167" i="7" s="1"/>
  <c r="K168" i="7"/>
  <c r="J96" i="7"/>
  <c r="K96" i="7" s="1"/>
  <c r="K97" i="7"/>
  <c r="J228" i="7"/>
  <c r="K229" i="7"/>
  <c r="J780" i="7"/>
  <c r="K781" i="7"/>
  <c r="J314" i="7"/>
  <c r="K314" i="7" s="1"/>
  <c r="K315" i="7"/>
  <c r="J813" i="7"/>
  <c r="K815" i="7"/>
  <c r="J165" i="7"/>
  <c r="K165" i="7" s="1"/>
  <c r="K166" i="7"/>
  <c r="L222" i="7"/>
  <c r="K222" i="7"/>
  <c r="J775" i="7"/>
  <c r="K775" i="7" s="1"/>
  <c r="K776" i="7"/>
  <c r="J446" i="7"/>
  <c r="K446" i="7" s="1"/>
  <c r="K447" i="7"/>
  <c r="J754" i="7"/>
  <c r="K755" i="7"/>
  <c r="J160" i="7"/>
  <c r="K160" i="7" s="1"/>
  <c r="K161" i="7"/>
  <c r="J86" i="7"/>
  <c r="K86" i="7" s="1"/>
  <c r="K87" i="7"/>
  <c r="F267" i="9"/>
  <c r="G267" i="9" s="1"/>
  <c r="K278" i="7"/>
  <c r="J344" i="7"/>
  <c r="K345" i="7"/>
  <c r="J444" i="7"/>
  <c r="K444" i="7" s="1"/>
  <c r="K445" i="7"/>
  <c r="F450" i="9"/>
  <c r="K154" i="7"/>
  <c r="F482" i="9"/>
  <c r="K76" i="7"/>
  <c r="J268" i="7"/>
  <c r="K268" i="7" s="1"/>
  <c r="K269" i="7"/>
  <c r="F561" i="9"/>
  <c r="G561" i="9" s="1"/>
  <c r="K349" i="7"/>
  <c r="J454" i="7"/>
  <c r="K455" i="7"/>
  <c r="J492" i="7"/>
  <c r="K492" i="7" s="1"/>
  <c r="K493" i="7"/>
  <c r="J147" i="7"/>
  <c r="K147" i="7" s="1"/>
  <c r="K148" i="7"/>
  <c r="J65" i="7"/>
  <c r="K66" i="7"/>
  <c r="J736" i="7"/>
  <c r="K737" i="7"/>
  <c r="J144" i="7"/>
  <c r="K144" i="7" s="1"/>
  <c r="K145" i="7"/>
  <c r="J62" i="7"/>
  <c r="K63" i="7"/>
  <c r="F289" i="9"/>
  <c r="K248" i="7"/>
  <c r="J751" i="7"/>
  <c r="K752" i="7"/>
  <c r="L359" i="7"/>
  <c r="K359" i="7"/>
  <c r="J480" i="7"/>
  <c r="K481" i="7"/>
  <c r="J114" i="7"/>
  <c r="K114" i="7" s="1"/>
  <c r="K115" i="7"/>
  <c r="J141" i="7"/>
  <c r="K141" i="7" s="1"/>
  <c r="K142" i="7"/>
  <c r="F422" i="9"/>
  <c r="G422" i="9" s="1"/>
  <c r="K58" i="7"/>
  <c r="F302" i="9"/>
  <c r="K241" i="7"/>
  <c r="J355" i="7"/>
  <c r="K356" i="7"/>
  <c r="J17" i="7"/>
  <c r="K17" i="7" s="1"/>
  <c r="K18" i="7"/>
  <c r="J40" i="7"/>
  <c r="K40" i="7" s="1"/>
  <c r="K41" i="7"/>
  <c r="J236" i="7"/>
  <c r="K237" i="7"/>
  <c r="J712" i="7"/>
  <c r="K712" i="7" s="1"/>
  <c r="K713" i="7"/>
  <c r="F522" i="9"/>
  <c r="K306" i="7"/>
  <c r="J131" i="7"/>
  <c r="K131" i="7" s="1"/>
  <c r="K132" i="7"/>
  <c r="J37" i="7"/>
  <c r="K37" i="7" s="1"/>
  <c r="K38" i="7"/>
  <c r="J709" i="7"/>
  <c r="K709" i="7" s="1"/>
  <c r="K710" i="7"/>
  <c r="J301" i="7"/>
  <c r="K301" i="7" s="1"/>
  <c r="K302" i="7"/>
  <c r="J119" i="7"/>
  <c r="K120" i="7"/>
  <c r="J691" i="7"/>
  <c r="K692" i="7"/>
  <c r="J295" i="7"/>
  <c r="K296" i="7"/>
  <c r="F230" i="9"/>
  <c r="K861" i="7"/>
  <c r="J172" i="7"/>
  <c r="K172" i="7" s="1"/>
  <c r="K173" i="7"/>
  <c r="J111" i="7"/>
  <c r="K111" i="7" s="1"/>
  <c r="K112" i="7"/>
  <c r="J27" i="7"/>
  <c r="K27" i="7" s="1"/>
  <c r="K28" i="7"/>
  <c r="J323" i="7"/>
  <c r="K324" i="7"/>
  <c r="J536" i="7"/>
  <c r="K536" i="7" s="1"/>
  <c r="K537" i="7"/>
  <c r="J170" i="7"/>
  <c r="K170" i="7" s="1"/>
  <c r="K171" i="7"/>
  <c r="J108" i="7"/>
  <c r="K108" i="7" s="1"/>
  <c r="K109" i="7"/>
  <c r="J783" i="7"/>
  <c r="K784" i="7"/>
  <c r="F91" i="9"/>
  <c r="K640" i="7"/>
  <c r="J317" i="7"/>
  <c r="K317" i="7" s="1"/>
  <c r="K318" i="7"/>
  <c r="J528" i="7"/>
  <c r="K528" i="7" s="1"/>
  <c r="K529" i="7"/>
  <c r="AG353" i="2"/>
  <c r="AG291" i="2"/>
  <c r="AF290" i="2"/>
  <c r="AF518" i="2"/>
  <c r="AG519" i="2"/>
  <c r="AF489" i="2"/>
  <c r="AG489" i="2" s="1"/>
  <c r="AG490" i="2"/>
  <c r="AF459" i="2"/>
  <c r="AG460" i="2"/>
  <c r="AF444" i="2"/>
  <c r="AG445" i="2"/>
  <c r="AF410" i="2"/>
  <c r="AG410" i="2" s="1"/>
  <c r="AG411" i="2"/>
  <c r="AF407" i="2"/>
  <c r="AG407" i="2" s="1"/>
  <c r="AG408" i="2"/>
  <c r="AF378" i="2"/>
  <c r="AG378" i="2" s="1"/>
  <c r="AG379" i="2"/>
  <c r="AF375" i="2"/>
  <c r="AG375" i="2" s="1"/>
  <c r="AG376" i="2"/>
  <c r="AF363" i="2"/>
  <c r="AG363" i="2" s="1"/>
  <c r="AG364" i="2"/>
  <c r="AF340" i="2"/>
  <c r="AG340" i="2" s="1"/>
  <c r="AG341" i="2"/>
  <c r="AF334" i="2"/>
  <c r="AG335" i="2"/>
  <c r="AF319" i="2"/>
  <c r="AG320" i="2"/>
  <c r="AF311" i="2"/>
  <c r="AG311" i="2" s="1"/>
  <c r="AG312" i="2"/>
  <c r="AF300" i="2"/>
  <c r="AG301" i="2"/>
  <c r="AF287" i="2"/>
  <c r="AG287" i="2" s="1"/>
  <c r="AG288" i="2"/>
  <c r="AF262" i="2"/>
  <c r="AG263" i="2"/>
  <c r="AF248" i="2"/>
  <c r="AG248" i="2" s="1"/>
  <c r="AG249" i="2"/>
  <c r="AF245" i="2"/>
  <c r="AG245" i="2" s="1"/>
  <c r="AG246" i="2"/>
  <c r="AF238" i="2"/>
  <c r="AG239" i="2"/>
  <c r="AF234" i="2"/>
  <c r="AG235" i="2"/>
  <c r="AF230" i="2"/>
  <c r="AG231" i="2"/>
  <c r="AF223" i="2"/>
  <c r="AG224" i="2"/>
  <c r="AF213" i="2"/>
  <c r="AG213" i="2" s="1"/>
  <c r="AG214" i="2"/>
  <c r="AF216" i="2"/>
  <c r="AG216" i="2" s="1"/>
  <c r="AG217" i="2"/>
  <c r="AF206" i="2"/>
  <c r="AG207" i="2"/>
  <c r="AF197" i="2"/>
  <c r="AG198" i="2"/>
  <c r="AF167" i="2"/>
  <c r="AG168" i="2"/>
  <c r="AF160" i="2"/>
  <c r="AG161" i="2"/>
  <c r="AF156" i="2"/>
  <c r="AG157" i="2"/>
  <c r="AF148" i="2"/>
  <c r="AG149" i="2"/>
  <c r="AF141" i="2"/>
  <c r="AG141" i="2" s="1"/>
  <c r="AG142" i="2"/>
  <c r="AF120" i="2"/>
  <c r="AG121" i="2"/>
  <c r="AF101" i="2"/>
  <c r="AG102" i="2"/>
  <c r="AF64" i="2"/>
  <c r="AG64" i="2" s="1"/>
  <c r="AG69" i="2"/>
  <c r="AF57" i="2"/>
  <c r="AG58" i="2"/>
  <c r="AF48" i="2"/>
  <c r="AG49" i="2"/>
  <c r="AF38" i="2"/>
  <c r="AG38" i="2" s="1"/>
  <c r="AG39" i="2"/>
  <c r="AF35" i="2"/>
  <c r="AG35" i="2" s="1"/>
  <c r="AG36" i="2"/>
  <c r="AG31" i="2"/>
  <c r="AG30" i="2" s="1"/>
  <c r="AF14" i="2"/>
  <c r="AG15" i="2"/>
  <c r="G746" i="7"/>
  <c r="G745" i="7" s="1"/>
  <c r="D18" i="9"/>
  <c r="D17" i="9" s="1"/>
  <c r="AD362" i="2"/>
  <c r="AD361" i="2" s="1"/>
  <c r="D169" i="9"/>
  <c r="D165" i="9" s="1"/>
  <c r="F169" i="9"/>
  <c r="AD290" i="2"/>
  <c r="AD286" i="2" s="1"/>
  <c r="AD285" i="2" s="1"/>
  <c r="AD284" i="2" s="1"/>
  <c r="D275" i="9"/>
  <c r="AF188" i="2"/>
  <c r="AD188" i="2"/>
  <c r="AD187" i="2" s="1"/>
  <c r="AD186" i="2" s="1"/>
  <c r="AF93" i="2"/>
  <c r="AG93" i="2" s="1"/>
  <c r="D465" i="9"/>
  <c r="AD88" i="2"/>
  <c r="J164" i="7"/>
  <c r="K164" i="7" s="1"/>
  <c r="D460" i="9"/>
  <c r="AF88" i="2"/>
  <c r="AG88" i="2" s="1"/>
  <c r="F237" i="9"/>
  <c r="J890" i="7"/>
  <c r="K890" i="7" s="1"/>
  <c r="D253" i="9"/>
  <c r="D252" i="9" s="1"/>
  <c r="D251" i="9" s="1"/>
  <c r="D250" i="9" s="1"/>
  <c r="J284" i="7"/>
  <c r="AD349" i="2"/>
  <c r="AD348" i="2" s="1"/>
  <c r="AD347" i="2" s="1"/>
  <c r="AD346" i="2" s="1"/>
  <c r="D700" i="9"/>
  <c r="D699" i="9" s="1"/>
  <c r="D698" i="9" s="1"/>
  <c r="D697" i="9" s="1"/>
  <c r="D294" i="9"/>
  <c r="AD140" i="2"/>
  <c r="AD139" i="2" s="1"/>
  <c r="AD138" i="2" s="1"/>
  <c r="AD137" i="2" s="1"/>
  <c r="AD136" i="2" s="1"/>
  <c r="AF140" i="2"/>
  <c r="J685" i="7"/>
  <c r="F263" i="9"/>
  <c r="F685" i="7"/>
  <c r="F684" i="7" s="1"/>
  <c r="F683" i="7" s="1"/>
  <c r="F682" i="7" s="1"/>
  <c r="F681" i="7" s="1"/>
  <c r="D262" i="9"/>
  <c r="D261" i="9" s="1"/>
  <c r="D260" i="9" s="1"/>
  <c r="AD82" i="2"/>
  <c r="AD154" i="2"/>
  <c r="AD153" i="2" s="1"/>
  <c r="AD152" i="2" s="1"/>
  <c r="D232" i="9"/>
  <c r="AD406" i="2"/>
  <c r="AD396" i="2" s="1"/>
  <c r="AD395" i="2" s="1"/>
  <c r="AD316" i="2"/>
  <c r="AD315" i="2" s="1"/>
  <c r="D185" i="9"/>
  <c r="D179" i="9"/>
  <c r="F221" i="7"/>
  <c r="F220" i="7" s="1"/>
  <c r="D508" i="9"/>
  <c r="D507" i="9" s="1"/>
  <c r="D506" i="9" s="1"/>
  <c r="F75" i="7"/>
  <c r="F74" i="7" s="1"/>
  <c r="F73" i="7" s="1"/>
  <c r="F72" i="7" s="1"/>
  <c r="F71" i="7" s="1"/>
  <c r="D481" i="9"/>
  <c r="D480" i="9" s="1"/>
  <c r="D479" i="9" s="1"/>
  <c r="J75" i="7"/>
  <c r="AD175" i="2"/>
  <c r="AD174" i="2" s="1"/>
  <c r="D266" i="9"/>
  <c r="D265" i="9" s="1"/>
  <c r="D421" i="9"/>
  <c r="D420" i="9" s="1"/>
  <c r="F384" i="9"/>
  <c r="J129" i="7"/>
  <c r="K129" i="7" s="1"/>
  <c r="D384" i="9"/>
  <c r="F129" i="7"/>
  <c r="G836" i="7"/>
  <c r="D118" i="9"/>
  <c r="D117" i="9" s="1"/>
  <c r="J561" i="7"/>
  <c r="L586" i="7"/>
  <c r="F118" i="9"/>
  <c r="G562" i="7"/>
  <c r="G561" i="7" s="1"/>
  <c r="G560" i="7" s="1"/>
  <c r="G552" i="7" s="1"/>
  <c r="D304" i="9"/>
  <c r="D303" i="9" s="1"/>
  <c r="AF310" i="2"/>
  <c r="AF382" i="2"/>
  <c r="AF339" i="2"/>
  <c r="F216" i="9"/>
  <c r="F529" i="7"/>
  <c r="F528" i="7" s="1"/>
  <c r="J604" i="7"/>
  <c r="AD219" i="2"/>
  <c r="F538" i="9"/>
  <c r="F651" i="9"/>
  <c r="F295" i="7"/>
  <c r="F294" i="7" s="1"/>
  <c r="F293" i="7" s="1"/>
  <c r="F292" i="7" s="1"/>
  <c r="F291" i="7" s="1"/>
  <c r="F290" i="7" s="1"/>
  <c r="F56" i="9"/>
  <c r="G719" i="7"/>
  <c r="G718" i="7" s="1"/>
  <c r="G717" i="7" s="1"/>
  <c r="F58" i="9"/>
  <c r="F271" i="9"/>
  <c r="AD112" i="2"/>
  <c r="AD111" i="2" s="1"/>
  <c r="AD110" i="2" s="1"/>
  <c r="AD466" i="2"/>
  <c r="AD465" i="2" s="1"/>
  <c r="AD464" i="2" s="1"/>
  <c r="AD463" i="2" s="1"/>
  <c r="AD462" i="2" s="1"/>
  <c r="AF466" i="2"/>
  <c r="J817" i="7"/>
  <c r="L719" i="7"/>
  <c r="D533" i="9"/>
  <c r="D532" i="9" s="1"/>
  <c r="D531" i="9" s="1"/>
  <c r="D524" i="9" s="1"/>
  <c r="D523" i="9" s="1"/>
  <c r="AD309" i="2"/>
  <c r="AD303" i="2" s="1"/>
  <c r="D171" i="9"/>
  <c r="F481" i="7"/>
  <c r="F480" i="7" s="1"/>
  <c r="F479" i="7" s="1"/>
  <c r="F247" i="7"/>
  <c r="F315" i="7"/>
  <c r="F314" i="7" s="1"/>
  <c r="F427" i="9"/>
  <c r="F444" i="7"/>
  <c r="F402" i="9"/>
  <c r="F240" i="7"/>
  <c r="F239" i="7" s="1"/>
  <c r="F238" i="7" s="1"/>
  <c r="F36" i="9"/>
  <c r="AD339" i="2"/>
  <c r="AD338" i="2" s="1"/>
  <c r="F441" i="7"/>
  <c r="F440" i="7" s="1"/>
  <c r="F228" i="7"/>
  <c r="F227" i="7" s="1"/>
  <c r="F226" i="7" s="1"/>
  <c r="F225" i="7" s="1"/>
  <c r="F224" i="7" s="1"/>
  <c r="F223" i="7" s="1"/>
  <c r="D18" i="10" s="1"/>
  <c r="AF21" i="2"/>
  <c r="J860" i="7"/>
  <c r="F145" i="7"/>
  <c r="F144" i="7" s="1"/>
  <c r="F486" i="9"/>
  <c r="F277" i="7"/>
  <c r="F276" i="7" s="1"/>
  <c r="F275" i="7" s="1"/>
  <c r="F274" i="7" s="1"/>
  <c r="F831" i="7"/>
  <c r="L599" i="7"/>
  <c r="F464" i="9"/>
  <c r="F490" i="7"/>
  <c r="F489" i="7" s="1"/>
  <c r="F62" i="7"/>
  <c r="F61" i="7" s="1"/>
  <c r="AF351" i="2"/>
  <c r="AF350" i="2" s="1"/>
  <c r="AF349" i="2" s="1"/>
  <c r="F561" i="7"/>
  <c r="F560" i="7" s="1"/>
  <c r="F167" i="7"/>
  <c r="F868" i="7"/>
  <c r="F867" i="7" s="1"/>
  <c r="F112" i="7"/>
  <c r="F111" i="7" s="1"/>
  <c r="AD63" i="2"/>
  <c r="AD62" i="2" s="1"/>
  <c r="F312" i="7"/>
  <c r="F311" i="7" s="1"/>
  <c r="F236" i="7"/>
  <c r="F235" i="7" s="1"/>
  <c r="F234" i="7" s="1"/>
  <c r="G288" i="7"/>
  <c r="G287" i="7" s="1"/>
  <c r="F287" i="7"/>
  <c r="AF82" i="2"/>
  <c r="AG82" i="2" s="1"/>
  <c r="F172" i="7"/>
  <c r="F755" i="7"/>
  <c r="D39" i="9" s="1"/>
  <c r="D38" i="9" s="1"/>
  <c r="D37" i="9" s="1"/>
  <c r="AD382" i="2"/>
  <c r="AD381" i="2" s="1"/>
  <c r="D589" i="9"/>
  <c r="D588" i="9" s="1"/>
  <c r="D587" i="9" s="1"/>
  <c r="D109" i="9"/>
  <c r="D108" i="9" s="1"/>
  <c r="D107" i="9" s="1"/>
  <c r="D106" i="9" s="1"/>
  <c r="F558" i="7"/>
  <c r="F557" i="7" s="1"/>
  <c r="F556" i="7" s="1"/>
  <c r="D500" i="9"/>
  <c r="D494" i="9" s="1"/>
  <c r="D493" i="9" s="1"/>
  <c r="J601" i="7"/>
  <c r="J653" i="7"/>
  <c r="L653" i="7"/>
  <c r="AD21" i="2"/>
  <c r="AD20" i="2" s="1"/>
  <c r="AD19" i="2" s="1"/>
  <c r="AD18" i="2" s="1"/>
  <c r="F469" i="9"/>
  <c r="J477" i="7"/>
  <c r="D208" i="9"/>
  <c r="D207" i="9" s="1"/>
  <c r="D206" i="9" s="1"/>
  <c r="D205" i="9" s="1"/>
  <c r="D204" i="9" s="1"/>
  <c r="D335" i="9"/>
  <c r="D334" i="9" s="1"/>
  <c r="D333" i="9" s="1"/>
  <c r="D332" i="9" s="1"/>
  <c r="D331" i="9" s="1"/>
  <c r="F847" i="7"/>
  <c r="F846" i="7" s="1"/>
  <c r="F845" i="7" s="1"/>
  <c r="F844" i="7" s="1"/>
  <c r="D418" i="9"/>
  <c r="D417" i="9" s="1"/>
  <c r="D416" i="9" s="1"/>
  <c r="F17" i="7"/>
  <c r="AD29" i="2"/>
  <c r="AD28" i="2" s="1"/>
  <c r="AD27" i="2" s="1"/>
  <c r="AD26" i="2" s="1"/>
  <c r="AD331" i="2"/>
  <c r="AF63" i="2"/>
  <c r="AF486" i="2"/>
  <c r="AG486" i="2" s="1"/>
  <c r="AF488" i="2"/>
  <c r="AF485" i="2"/>
  <c r="F533" i="9"/>
  <c r="F500" i="9"/>
  <c r="G500" i="9" s="1"/>
  <c r="F323" i="7"/>
  <c r="F322" i="7" s="1"/>
  <c r="F321" i="7" s="1"/>
  <c r="F320" i="7" s="1"/>
  <c r="AD55" i="2"/>
  <c r="F530" i="9"/>
  <c r="F472" i="9"/>
  <c r="F277" i="9"/>
  <c r="F771" i="7"/>
  <c r="F639" i="7"/>
  <c r="F638" i="7" s="1"/>
  <c r="F637" i="7" s="1"/>
  <c r="F636" i="7" s="1"/>
  <c r="AD486" i="2"/>
  <c r="F142" i="7"/>
  <c r="F141" i="7" s="1"/>
  <c r="F710" i="7"/>
  <c r="F709" i="7" s="1"/>
  <c r="F691" i="7"/>
  <c r="F690" i="7" s="1"/>
  <c r="F94" i="7"/>
  <c r="F21" i="9"/>
  <c r="F131" i="7"/>
  <c r="L562" i="7"/>
  <c r="F567" i="9"/>
  <c r="G567" i="9" s="1"/>
  <c r="F462" i="9"/>
  <c r="F418" i="9"/>
  <c r="F659" i="9"/>
  <c r="F842" i="7"/>
  <c r="F841" i="7" s="1"/>
  <c r="F837" i="7" s="1"/>
  <c r="F557" i="9"/>
  <c r="F348" i="7"/>
  <c r="F347" i="7" s="1"/>
  <c r="F346" i="7" s="1"/>
  <c r="F319" i="9"/>
  <c r="F534" i="7"/>
  <c r="F533" i="7" s="1"/>
  <c r="F93" i="7"/>
  <c r="F38" i="7"/>
  <c r="F37" i="7" s="1"/>
  <c r="F728" i="7"/>
  <c r="F727" i="7" s="1"/>
  <c r="F165" i="7"/>
  <c r="F713" i="7"/>
  <c r="F712" i="7" s="1"/>
  <c r="F386" i="9"/>
  <c r="F256" i="7"/>
  <c r="F170" i="7"/>
  <c r="J221" i="7"/>
  <c r="J247" i="7"/>
  <c r="K247" i="7" s="1"/>
  <c r="J868" i="7"/>
  <c r="F722" i="7"/>
  <c r="F537" i="7"/>
  <c r="F536" i="7" s="1"/>
  <c r="F430" i="9"/>
  <c r="F467" i="9"/>
  <c r="F39" i="9"/>
  <c r="J598" i="7"/>
  <c r="AD228" i="2"/>
  <c r="AD227" i="2" s="1"/>
  <c r="AD226" i="2" s="1"/>
  <c r="J127" i="7"/>
  <c r="K127" i="7" s="1"/>
  <c r="F382" i="9"/>
  <c r="J106" i="7"/>
  <c r="F687" i="9"/>
  <c r="J251" i="7"/>
  <c r="K251" i="7" s="1"/>
  <c r="F408" i="9"/>
  <c r="J348" i="7"/>
  <c r="J441" i="7"/>
  <c r="F274" i="9"/>
  <c r="F656" i="9"/>
  <c r="J534" i="7"/>
  <c r="F210" i="9"/>
  <c r="F30" i="7"/>
  <c r="F31" i="7"/>
  <c r="D61" i="9"/>
  <c r="D60" i="9" s="1"/>
  <c r="D59" i="9" s="1"/>
  <c r="F776" i="7"/>
  <c r="F775" i="7" s="1"/>
  <c r="G359" i="7"/>
  <c r="G358" i="7" s="1"/>
  <c r="G357" i="7" s="1"/>
  <c r="G353" i="7" s="1"/>
  <c r="G352" i="7" s="1"/>
  <c r="G351" i="7" s="1"/>
  <c r="G350" i="7" s="1"/>
  <c r="F358" i="7"/>
  <c r="F357" i="7" s="1"/>
  <c r="D271" i="9"/>
  <c r="D270" i="9" s="1"/>
  <c r="D269" i="9" s="1"/>
  <c r="F355" i="7"/>
  <c r="F354" i="7" s="1"/>
  <c r="D434" i="9"/>
  <c r="D433" i="9" s="1"/>
  <c r="D432" i="9" s="1"/>
  <c r="F87" i="7"/>
  <c r="F86" i="7" s="1"/>
  <c r="D408" i="9"/>
  <c r="D407" i="9" s="1"/>
  <c r="D406" i="9" s="1"/>
  <c r="F148" i="7"/>
  <c r="F147" i="7" s="1"/>
  <c r="D397" i="9"/>
  <c r="D396" i="9" s="1"/>
  <c r="G138" i="7"/>
  <c r="G137" i="7" s="1"/>
  <c r="D512" i="9"/>
  <c r="D511" i="9" s="1"/>
  <c r="D510" i="9" s="1"/>
  <c r="D509" i="9" s="1"/>
  <c r="G179" i="7"/>
  <c r="G178" i="7" s="1"/>
  <c r="G177" i="7" s="1"/>
  <c r="G176" i="7" s="1"/>
  <c r="G175" i="7" s="1"/>
  <c r="G174" i="7" s="1"/>
  <c r="D485" i="9"/>
  <c r="D484" i="9" s="1"/>
  <c r="D483" i="9" s="1"/>
  <c r="F454" i="7"/>
  <c r="F453" i="7" s="1"/>
  <c r="F452" i="7" s="1"/>
  <c r="F451" i="7" s="1"/>
  <c r="F450" i="7" s="1"/>
  <c r="D116" i="9"/>
  <c r="D115" i="9" s="1"/>
  <c r="D114" i="9" s="1"/>
  <c r="F582" i="7"/>
  <c r="F581" i="7" s="1"/>
  <c r="F116" i="9"/>
  <c r="J582" i="7"/>
  <c r="F188" i="7"/>
  <c r="F187" i="7" s="1"/>
  <c r="F186" i="7" s="1"/>
  <c r="F181" i="7" s="1"/>
  <c r="F180" i="7" s="1"/>
  <c r="J558" i="7"/>
  <c r="F109" i="9"/>
  <c r="J57" i="7"/>
  <c r="F421" i="9"/>
  <c r="J240" i="7"/>
  <c r="J312" i="7"/>
  <c r="F527" i="9"/>
  <c r="F65" i="7"/>
  <c r="F64" i="7" s="1"/>
  <c r="F137" i="7"/>
  <c r="F134" i="7" s="1"/>
  <c r="F133" i="7" s="1"/>
  <c r="J847" i="7"/>
  <c r="L848" i="7"/>
  <c r="D617" i="9"/>
  <c r="D616" i="9" s="1"/>
  <c r="D615" i="9" s="1"/>
  <c r="F505" i="7"/>
  <c r="F504" i="7" s="1"/>
  <c r="D145" i="9"/>
  <c r="D144" i="9" s="1"/>
  <c r="D143" i="9" s="1"/>
  <c r="F604" i="7"/>
  <c r="F603" i="7" s="1"/>
  <c r="F305" i="7"/>
  <c r="F304" i="7" s="1"/>
  <c r="F444" i="9"/>
  <c r="F405" i="9"/>
  <c r="G848" i="7"/>
  <c r="G847" i="7" s="1"/>
  <c r="G846" i="7" s="1"/>
  <c r="G845" i="7" s="1"/>
  <c r="G844" i="7" s="1"/>
  <c r="F28" i="7"/>
  <c r="F27" i="7" s="1"/>
  <c r="F161" i="7"/>
  <c r="F160" i="7" s="1"/>
  <c r="F700" i="9"/>
  <c r="F61" i="9"/>
  <c r="G832" i="7"/>
  <c r="F41" i="7"/>
  <c r="F40" i="7" s="1"/>
  <c r="F97" i="7"/>
  <c r="F96" i="7" s="1"/>
  <c r="F62" i="9"/>
  <c r="G62" i="9" s="1"/>
  <c r="F171" i="9"/>
  <c r="G171" i="9" s="1"/>
  <c r="D256" i="9"/>
  <c r="J256" i="7"/>
  <c r="K256" i="7" s="1"/>
  <c r="F307" i="9"/>
  <c r="F223" i="9"/>
  <c r="L51" i="7"/>
  <c r="J50" i="7"/>
  <c r="K50" i="7" s="1"/>
  <c r="J814" i="7"/>
  <c r="K814" i="7" s="1"/>
  <c r="J505" i="7"/>
  <c r="F617" i="9"/>
  <c r="D319" i="9"/>
  <c r="D318" i="9" s="1"/>
  <c r="F268" i="7"/>
  <c r="D113" i="9"/>
  <c r="D112" i="9" s="1"/>
  <c r="D111" i="9" s="1"/>
  <c r="F579" i="7"/>
  <c r="F578" i="7" s="1"/>
  <c r="F446" i="7"/>
  <c r="F372" i="7"/>
  <c r="F371" i="7" s="1"/>
  <c r="F370" i="7" s="1"/>
  <c r="F369" i="7" s="1"/>
  <c r="F368" i="7" s="1"/>
  <c r="F35" i="7"/>
  <c r="F34" i="7" s="1"/>
  <c r="F508" i="9"/>
  <c r="F433" i="9"/>
  <c r="J639" i="7"/>
  <c r="J305" i="7"/>
  <c r="G830" i="7"/>
  <c r="G829" i="7" s="1"/>
  <c r="D33" i="9"/>
  <c r="D32" i="9" s="1"/>
  <c r="D31" i="9" s="1"/>
  <c r="F748" i="7"/>
  <c r="F747" i="7" s="1"/>
  <c r="D323" i="9"/>
  <c r="D557" i="9"/>
  <c r="D556" i="9" s="1"/>
  <c r="D555" i="9" s="1"/>
  <c r="D554" i="9" s="1"/>
  <c r="D648" i="9"/>
  <c r="D647" i="9" s="1"/>
  <c r="D646" i="9" s="1"/>
  <c r="D152" i="9"/>
  <c r="D151" i="9" s="1"/>
  <c r="D150" i="9" s="1"/>
  <c r="D149" i="9" s="1"/>
  <c r="F608" i="7"/>
  <c r="F607" i="7" s="1"/>
  <c r="F606" i="7" s="1"/>
  <c r="J474" i="7"/>
  <c r="F586" i="9"/>
  <c r="F127" i="7"/>
  <c r="F57" i="7"/>
  <c r="F56" i="7" s="1"/>
  <c r="F705" i="7"/>
  <c r="F704" i="7" s="1"/>
  <c r="D58" i="9"/>
  <c r="D57" i="9" s="1"/>
  <c r="D54" i="9" s="1"/>
  <c r="F773" i="7"/>
  <c r="D221" i="9"/>
  <c r="D220" i="9" s="1"/>
  <c r="G49" i="7"/>
  <c r="G48" i="7" s="1"/>
  <c r="F152" i="9"/>
  <c r="J608" i="7"/>
  <c r="F48" i="7"/>
  <c r="F47" i="7" s="1"/>
  <c r="F46" i="7" s="1"/>
  <c r="F45" i="7" s="1"/>
  <c r="F44" i="7" s="1"/>
  <c r="F153" i="7"/>
  <c r="F152" i="7" s="1"/>
  <c r="F680" i="9"/>
  <c r="F690" i="9"/>
  <c r="F279" i="9"/>
  <c r="F251" i="7"/>
  <c r="F250" i="7" s="1"/>
  <c r="F593" i="9"/>
  <c r="J137" i="7"/>
  <c r="K137" i="7" s="1"/>
  <c r="J585" i="7"/>
  <c r="J340" i="7"/>
  <c r="F553" i="9"/>
  <c r="F202" i="9"/>
  <c r="G834" i="7"/>
  <c r="G833" i="7" s="1"/>
  <c r="F833" i="7"/>
  <c r="F601" i="7"/>
  <c r="F600" i="7" s="1"/>
  <c r="J140" i="7"/>
  <c r="G222" i="7"/>
  <c r="G221" i="7" s="1"/>
  <c r="G220" i="7" s="1"/>
  <c r="G586" i="7"/>
  <c r="G585" i="7" s="1"/>
  <c r="G584" i="7" s="1"/>
  <c r="G573" i="7" s="1"/>
  <c r="F585" i="7"/>
  <c r="F584" i="7" s="1"/>
  <c r="F120" i="7"/>
  <c r="F119" i="7" s="1"/>
  <c r="F118" i="7" s="1"/>
  <c r="F670" i="9"/>
  <c r="F397" i="9"/>
  <c r="F298" i="9"/>
  <c r="F661" i="7"/>
  <c r="F829" i="7"/>
  <c r="J748" i="7"/>
  <c r="F33" i="9"/>
  <c r="G654" i="7"/>
  <c r="G653" i="7" s="1"/>
  <c r="G652" i="7" s="1"/>
  <c r="D139" i="9"/>
  <c r="D138" i="9" s="1"/>
  <c r="D137" i="9" s="1"/>
  <c r="F598" i="7"/>
  <c r="F597" i="7" s="1"/>
  <c r="G599" i="7"/>
  <c r="G598" i="7" s="1"/>
  <c r="G597" i="7" s="1"/>
  <c r="G596" i="7" s="1"/>
  <c r="F113" i="9"/>
  <c r="J579" i="7"/>
  <c r="F605" i="9"/>
  <c r="F106" i="7"/>
  <c r="F105" i="7" s="1"/>
  <c r="F519" i="9"/>
  <c r="F447" i="9"/>
  <c r="F193" i="9"/>
  <c r="F497" i="9"/>
  <c r="F212" i="9"/>
  <c r="L830" i="7"/>
  <c r="J829" i="7"/>
  <c r="K829" i="7" s="1"/>
  <c r="J770" i="7"/>
  <c r="F693" i="9"/>
  <c r="J662" i="7"/>
  <c r="K662" i="7" s="1"/>
  <c r="J661" i="7"/>
  <c r="J35" i="7"/>
  <c r="F677" i="9"/>
  <c r="J705" i="7"/>
  <c r="F188" i="9"/>
  <c r="J372" i="7"/>
  <c r="F390" i="9"/>
  <c r="D690" i="9"/>
  <c r="D689" i="9" s="1"/>
  <c r="D688" i="9" s="1"/>
  <c r="D684" i="9" s="1"/>
  <c r="F109" i="7"/>
  <c r="F108" i="7" s="1"/>
  <c r="F778" i="7"/>
  <c r="D36" i="9"/>
  <c r="D35" i="9" s="1"/>
  <c r="D34" i="9" s="1"/>
  <c r="F751" i="7"/>
  <c r="F750" i="7" s="1"/>
  <c r="D230" i="9"/>
  <c r="D229" i="9" s="1"/>
  <c r="D225" i="9" s="1"/>
  <c r="F860" i="7"/>
  <c r="F859" i="7" s="1"/>
  <c r="F855" i="7" s="1"/>
  <c r="J358" i="7"/>
  <c r="F284" i="9"/>
  <c r="J153" i="7"/>
  <c r="J831" i="7"/>
  <c r="K831" i="7" s="1"/>
  <c r="L832" i="7"/>
  <c r="M832" i="7" s="1"/>
  <c r="L288" i="7"/>
  <c r="F257" i="9"/>
  <c r="D202" i="9"/>
  <c r="D201" i="9" s="1"/>
  <c r="D200" i="9" s="1"/>
  <c r="D199" i="9" s="1"/>
  <c r="D198" i="9" s="1"/>
  <c r="F815" i="7"/>
  <c r="D284" i="9"/>
  <c r="D283" i="9" s="1"/>
  <c r="D282" i="9" s="1"/>
  <c r="D553" i="9"/>
  <c r="D552" i="9" s="1"/>
  <c r="D551" i="9" s="1"/>
  <c r="D550" i="9" s="1"/>
  <c r="F340" i="7"/>
  <c r="F339" i="7" s="1"/>
  <c r="F338" i="7" s="1"/>
  <c r="D586" i="9"/>
  <c r="D585" i="9" s="1"/>
  <c r="D584" i="9" s="1"/>
  <c r="F474" i="7"/>
  <c r="F473" i="7" s="1"/>
  <c r="J178" i="7"/>
  <c r="L179" i="7"/>
  <c r="F512" i="9"/>
  <c r="J93" i="7"/>
  <c r="J94" i="7"/>
  <c r="K94" i="7" s="1"/>
  <c r="J277" i="7"/>
  <c r="F266" i="9"/>
  <c r="J833" i="7"/>
  <c r="K833" i="7" s="1"/>
  <c r="L834" i="7"/>
  <c r="J490" i="7"/>
  <c r="F601" i="9"/>
  <c r="D223" i="9"/>
  <c r="D222" i="9" s="1"/>
  <c r="G51" i="7"/>
  <c r="G50" i="7" s="1"/>
  <c r="F220" i="9"/>
  <c r="G220" i="9" s="1"/>
  <c r="F221" i="9"/>
  <c r="G221" i="9" s="1"/>
  <c r="J48" i="7"/>
  <c r="K48" i="7" s="1"/>
  <c r="L49" i="7"/>
  <c r="D516" i="9"/>
  <c r="D515" i="9" s="1"/>
  <c r="D514" i="9" s="1"/>
  <c r="D286" i="9"/>
  <c r="D285" i="9" s="1"/>
  <c r="D674" i="9"/>
  <c r="AD485" i="2"/>
  <c r="AD484" i="2" s="1"/>
  <c r="AD442" i="2"/>
  <c r="AD441" i="2"/>
  <c r="AD440" i="2" s="1"/>
  <c r="AD212" i="2"/>
  <c r="AD211" i="2" s="1"/>
  <c r="AD210" i="2" s="1"/>
  <c r="AD209" i="2" s="1"/>
  <c r="AD201" i="2" s="1"/>
  <c r="AD244" i="2"/>
  <c r="AD243" i="2" s="1"/>
  <c r="AD242" i="2" s="1"/>
  <c r="AD241" i="2" s="1"/>
  <c r="AD454" i="2"/>
  <c r="AD453" i="2" s="1"/>
  <c r="AD452" i="2" s="1"/>
  <c r="F301" i="7"/>
  <c r="F736" i="7"/>
  <c r="F735" i="7" s="1"/>
  <c r="F734" i="7" s="1"/>
  <c r="J135" i="7"/>
  <c r="K135" i="7" s="1"/>
  <c r="L136" i="7"/>
  <c r="D395" i="9"/>
  <c r="G136" i="7"/>
  <c r="G135" i="7" s="1"/>
  <c r="AF29" i="2"/>
  <c r="F395" i="9"/>
  <c r="G395" i="9" s="1"/>
  <c r="F458" i="9"/>
  <c r="J30" i="7"/>
  <c r="K30" i="7" s="1"/>
  <c r="J31" i="7"/>
  <c r="K31" i="7" s="1"/>
  <c r="J189" i="7"/>
  <c r="K189" i="7" s="1"/>
  <c r="AF112" i="2"/>
  <c r="F208" i="9"/>
  <c r="J720" i="7"/>
  <c r="K720" i="7" s="1"/>
  <c r="D62" i="9"/>
  <c r="D673" i="9"/>
  <c r="D672" i="9" s="1"/>
  <c r="D671" i="9" s="1"/>
  <c r="D605" i="9"/>
  <c r="D604" i="9" s="1"/>
  <c r="D603" i="9" s="1"/>
  <c r="F493" i="7"/>
  <c r="F492" i="7" s="1"/>
  <c r="F196" i="9"/>
  <c r="F683" i="9"/>
  <c r="J16" i="7"/>
  <c r="AF13" i="2"/>
  <c r="AD13" i="2"/>
  <c r="AD12" i="2" s="1"/>
  <c r="AD11" i="2" s="1"/>
  <c r="AD10" i="2" s="1"/>
  <c r="F16" i="7"/>
  <c r="F15" i="7" s="1"/>
  <c r="F14" i="7" s="1"/>
  <c r="F13" i="7" s="1"/>
  <c r="F12" i="7" s="1"/>
  <c r="AF244" i="2" l="1"/>
  <c r="AF406" i="2"/>
  <c r="AG406" i="2" s="1"/>
  <c r="AF212" i="2"/>
  <c r="D136" i="9"/>
  <c r="F560" i="9"/>
  <c r="F187" i="9"/>
  <c r="G188" i="9"/>
  <c r="F32" i="9"/>
  <c r="G33" i="9"/>
  <c r="F679" i="9"/>
  <c r="G680" i="9"/>
  <c r="F585" i="9"/>
  <c r="G586" i="9"/>
  <c r="F432" i="9"/>
  <c r="G432" i="9" s="1"/>
  <c r="G433" i="9"/>
  <c r="F699" i="9"/>
  <c r="G700" i="9"/>
  <c r="F115" i="9"/>
  <c r="G116" i="9"/>
  <c r="F273" i="9"/>
  <c r="G274" i="9"/>
  <c r="F461" i="9"/>
  <c r="G461" i="9" s="1"/>
  <c r="G462" i="9"/>
  <c r="L221" i="7"/>
  <c r="M222" i="7"/>
  <c r="F496" i="9"/>
  <c r="G497" i="9"/>
  <c r="F283" i="9"/>
  <c r="G284" i="9"/>
  <c r="F192" i="9"/>
  <c r="G193" i="9"/>
  <c r="F507" i="9"/>
  <c r="G508" i="9"/>
  <c r="L50" i="7"/>
  <c r="M50" i="7" s="1"/>
  <c r="M51" i="7"/>
  <c r="F38" i="9"/>
  <c r="G39" i="9"/>
  <c r="F276" i="9"/>
  <c r="G276" i="9" s="1"/>
  <c r="G277" i="9"/>
  <c r="F426" i="9"/>
  <c r="G427" i="9"/>
  <c r="F270" i="9"/>
  <c r="G271" i="9"/>
  <c r="L746" i="7"/>
  <c r="M753" i="7"/>
  <c r="F682" i="9"/>
  <c r="G683" i="9"/>
  <c r="F457" i="9"/>
  <c r="G458" i="9"/>
  <c r="F600" i="9"/>
  <c r="G600" i="9" s="1"/>
  <c r="G601" i="9"/>
  <c r="F676" i="9"/>
  <c r="G677" i="9"/>
  <c r="F446" i="9"/>
  <c r="G447" i="9"/>
  <c r="F222" i="9"/>
  <c r="G222" i="9" s="1"/>
  <c r="G223" i="9"/>
  <c r="F559" i="9"/>
  <c r="G560" i="9"/>
  <c r="F466" i="9"/>
  <c r="G466" i="9" s="1"/>
  <c r="G467" i="9"/>
  <c r="L561" i="7"/>
  <c r="M562" i="7"/>
  <c r="F471" i="9"/>
  <c r="G472" i="9"/>
  <c r="F485" i="9"/>
  <c r="G486" i="9"/>
  <c r="F57" i="9"/>
  <c r="G57" i="9" s="1"/>
  <c r="G58" i="9"/>
  <c r="F383" i="9"/>
  <c r="G383" i="9" s="1"/>
  <c r="G384" i="9"/>
  <c r="F225" i="9"/>
  <c r="G230" i="9"/>
  <c r="F195" i="9"/>
  <c r="G196" i="9"/>
  <c r="F518" i="9"/>
  <c r="G519" i="9"/>
  <c r="F201" i="9"/>
  <c r="G202" i="9"/>
  <c r="F306" i="9"/>
  <c r="G307" i="9"/>
  <c r="F526" i="9"/>
  <c r="G527" i="9"/>
  <c r="F429" i="9"/>
  <c r="G430" i="9"/>
  <c r="F529" i="9"/>
  <c r="G530" i="9"/>
  <c r="F180" i="9"/>
  <c r="G180" i="9" s="1"/>
  <c r="G181" i="9"/>
  <c r="F137" i="9"/>
  <c r="G138" i="9"/>
  <c r="F297" i="9"/>
  <c r="G298" i="9"/>
  <c r="F552" i="9"/>
  <c r="G553" i="9"/>
  <c r="F151" i="9"/>
  <c r="G152" i="9"/>
  <c r="F55" i="10"/>
  <c r="G55" i="10" s="1"/>
  <c r="G56" i="10"/>
  <c r="F55" i="9"/>
  <c r="G55" i="9" s="1"/>
  <c r="G56" i="9"/>
  <c r="L358" i="7"/>
  <c r="M359" i="7"/>
  <c r="F481" i="9"/>
  <c r="G482" i="9"/>
  <c r="L833" i="7"/>
  <c r="M833" i="7" s="1"/>
  <c r="M834" i="7"/>
  <c r="F404" i="9"/>
  <c r="G405" i="9"/>
  <c r="F604" i="9"/>
  <c r="G605" i="9"/>
  <c r="F396" i="9"/>
  <c r="G396" i="9" s="1"/>
  <c r="G397" i="9"/>
  <c r="F443" i="9"/>
  <c r="G444" i="9"/>
  <c r="F407" i="9"/>
  <c r="G408" i="9"/>
  <c r="F20" i="9"/>
  <c r="G21" i="9"/>
  <c r="F117" i="9"/>
  <c r="G117" i="9" s="1"/>
  <c r="G118" i="9"/>
  <c r="F265" i="9"/>
  <c r="G265" i="9" s="1"/>
  <c r="G266" i="9"/>
  <c r="F420" i="9"/>
  <c r="G420" i="9" s="1"/>
  <c r="G421" i="9"/>
  <c r="F318" i="9"/>
  <c r="G318" i="9" s="1"/>
  <c r="G319" i="9"/>
  <c r="F650" i="9"/>
  <c r="G651" i="9"/>
  <c r="L585" i="7"/>
  <c r="M586" i="7"/>
  <c r="F521" i="9"/>
  <c r="G522" i="9"/>
  <c r="F301" i="9"/>
  <c r="G302" i="9"/>
  <c r="F449" i="9"/>
  <c r="G450" i="9"/>
  <c r="F692" i="9"/>
  <c r="G693" i="9"/>
  <c r="L135" i="7"/>
  <c r="M135" i="7" s="1"/>
  <c r="M136" i="7"/>
  <c r="F112" i="9"/>
  <c r="G113" i="9"/>
  <c r="F686" i="9"/>
  <c r="G687" i="9"/>
  <c r="F532" i="9"/>
  <c r="G533" i="9"/>
  <c r="F537" i="9"/>
  <c r="G538" i="9"/>
  <c r="L837" i="7"/>
  <c r="M841" i="7"/>
  <c r="F253" i="9"/>
  <c r="G253" i="9" s="1"/>
  <c r="G257" i="9"/>
  <c r="F592" i="9"/>
  <c r="G593" i="9"/>
  <c r="F108" i="9"/>
  <c r="G109" i="9"/>
  <c r="F556" i="9"/>
  <c r="G557" i="9"/>
  <c r="F468" i="9"/>
  <c r="G468" i="9" s="1"/>
  <c r="G469" i="9"/>
  <c r="J267" i="7"/>
  <c r="J266" i="7" s="1"/>
  <c r="F90" i="9"/>
  <c r="G91" i="9"/>
  <c r="F288" i="9"/>
  <c r="G289" i="9"/>
  <c r="L829" i="7"/>
  <c r="M829" i="7" s="1"/>
  <c r="M830" i="7"/>
  <c r="F616" i="9"/>
  <c r="G617" i="9"/>
  <c r="F209" i="9"/>
  <c r="G209" i="9" s="1"/>
  <c r="G210" i="9"/>
  <c r="F381" i="9"/>
  <c r="G381" i="9" s="1"/>
  <c r="G382" i="9"/>
  <c r="F35" i="9"/>
  <c r="G36" i="9"/>
  <c r="F412" i="9"/>
  <c r="G413" i="9"/>
  <c r="F671" i="9"/>
  <c r="G671" i="9" s="1"/>
  <c r="G672" i="9"/>
  <c r="F143" i="9"/>
  <c r="G143" i="9" s="1"/>
  <c r="G144" i="9"/>
  <c r="L48" i="7"/>
  <c r="M48" i="7" s="1"/>
  <c r="M49" i="7"/>
  <c r="F511" i="9"/>
  <c r="G512" i="9"/>
  <c r="F389" i="9"/>
  <c r="G389" i="9" s="1"/>
  <c r="G390" i="9"/>
  <c r="F211" i="9"/>
  <c r="G211" i="9" s="1"/>
  <c r="G212" i="9"/>
  <c r="F278" i="9"/>
  <c r="G278" i="9" s="1"/>
  <c r="G279" i="9"/>
  <c r="F658" i="9"/>
  <c r="G659" i="9"/>
  <c r="F463" i="9"/>
  <c r="G463" i="9" s="1"/>
  <c r="G464" i="9"/>
  <c r="F262" i="9"/>
  <c r="G263" i="9"/>
  <c r="F236" i="9"/>
  <c r="G237" i="9"/>
  <c r="F669" i="9"/>
  <c r="G670" i="9"/>
  <c r="F207" i="9"/>
  <c r="G207" i="9" s="1"/>
  <c r="G208" i="9"/>
  <c r="L287" i="7"/>
  <c r="M287" i="7" s="1"/>
  <c r="M288" i="7"/>
  <c r="L178" i="7"/>
  <c r="M179" i="7"/>
  <c r="F689" i="9"/>
  <c r="G690" i="9"/>
  <c r="F60" i="9"/>
  <c r="G61" i="9"/>
  <c r="L847" i="7"/>
  <c r="M848" i="7"/>
  <c r="F655" i="9"/>
  <c r="G656" i="9"/>
  <c r="F385" i="9"/>
  <c r="G385" i="9" s="1"/>
  <c r="G386" i="9"/>
  <c r="F417" i="9"/>
  <c r="G418" i="9"/>
  <c r="L652" i="7"/>
  <c r="M652" i="7" s="1"/>
  <c r="M653" i="7"/>
  <c r="L598" i="7"/>
  <c r="M599" i="7"/>
  <c r="F401" i="9"/>
  <c r="G402" i="9"/>
  <c r="F215" i="9"/>
  <c r="G216" i="9"/>
  <c r="J169" i="7"/>
  <c r="K169" i="7" s="1"/>
  <c r="F165" i="9"/>
  <c r="G165" i="9" s="1"/>
  <c r="G169" i="9"/>
  <c r="F439" i="9"/>
  <c r="G439" i="9" s="1"/>
  <c r="G440" i="9"/>
  <c r="F333" i="9"/>
  <c r="G334" i="9"/>
  <c r="D549" i="9"/>
  <c r="L718" i="7"/>
  <c r="M719" i="7"/>
  <c r="J504" i="7"/>
  <c r="K504" i="7" s="1"/>
  <c r="K505" i="7"/>
  <c r="J846" i="7"/>
  <c r="K847" i="7"/>
  <c r="J533" i="7"/>
  <c r="K533" i="7" s="1"/>
  <c r="K534" i="7"/>
  <c r="J476" i="7"/>
  <c r="K476" i="7" s="1"/>
  <c r="K477" i="7"/>
  <c r="K267" i="7"/>
  <c r="J294" i="7"/>
  <c r="K295" i="7"/>
  <c r="J354" i="7"/>
  <c r="K354" i="7" s="1"/>
  <c r="K355" i="7"/>
  <c r="J64" i="7"/>
  <c r="K64" i="7" s="1"/>
  <c r="K65" i="7"/>
  <c r="J812" i="7"/>
  <c r="K813" i="7"/>
  <c r="J371" i="7"/>
  <c r="K372" i="7"/>
  <c r="J177" i="7"/>
  <c r="K178" i="7"/>
  <c r="J339" i="7"/>
  <c r="K340" i="7"/>
  <c r="J581" i="7"/>
  <c r="K581" i="7" s="1"/>
  <c r="K582" i="7"/>
  <c r="J105" i="7"/>
  <c r="K105" i="7" s="1"/>
  <c r="K106" i="7"/>
  <c r="J816" i="7"/>
  <c r="K816" i="7" s="1"/>
  <c r="K817" i="7"/>
  <c r="J74" i="7"/>
  <c r="K75" i="7"/>
  <c r="J704" i="7"/>
  <c r="K704" i="7" s="1"/>
  <c r="K705" i="7"/>
  <c r="J769" i="7"/>
  <c r="K770" i="7"/>
  <c r="J584" i="7"/>
  <c r="K584" i="7" s="1"/>
  <c r="K585" i="7"/>
  <c r="J283" i="7"/>
  <c r="K284" i="7"/>
  <c r="J322" i="7"/>
  <c r="K323" i="7"/>
  <c r="J690" i="7"/>
  <c r="K691" i="7"/>
  <c r="J750" i="7"/>
  <c r="K750" i="7" s="1"/>
  <c r="K751" i="7"/>
  <c r="J753" i="7"/>
  <c r="K753" i="7" s="1"/>
  <c r="K754" i="7"/>
  <c r="J489" i="7"/>
  <c r="K489" i="7" s="1"/>
  <c r="K490" i="7"/>
  <c r="J152" i="7"/>
  <c r="K152" i="7" s="1"/>
  <c r="K153" i="7"/>
  <c r="J357" i="7"/>
  <c r="K358" i="7"/>
  <c r="J747" i="7"/>
  <c r="K747" i="7" s="1"/>
  <c r="K748" i="7"/>
  <c r="J440" i="7"/>
  <c r="K440" i="7" s="1"/>
  <c r="K441" i="7"/>
  <c r="J34" i="7"/>
  <c r="K35" i="7"/>
  <c r="J304" i="7"/>
  <c r="K305" i="7"/>
  <c r="J603" i="7"/>
  <c r="K603" i="7" s="1"/>
  <c r="K604" i="7"/>
  <c r="J118" i="7"/>
  <c r="K119" i="7"/>
  <c r="J779" i="7"/>
  <c r="K780" i="7"/>
  <c r="J660" i="7"/>
  <c r="K660" i="7" s="1"/>
  <c r="K661" i="7"/>
  <c r="J139" i="7"/>
  <c r="K139" i="7" s="1"/>
  <c r="K140" i="7"/>
  <c r="J638" i="7"/>
  <c r="K639" i="7"/>
  <c r="J311" i="7"/>
  <c r="K312" i="7"/>
  <c r="J347" i="7"/>
  <c r="K348" i="7"/>
  <c r="J867" i="7"/>
  <c r="K867" i="7" s="1"/>
  <c r="K868" i="7"/>
  <c r="J652" i="7"/>
  <c r="K653" i="7"/>
  <c r="J859" i="7"/>
  <c r="K860" i="7"/>
  <c r="J600" i="7"/>
  <c r="K600" i="7" s="1"/>
  <c r="K601" i="7"/>
  <c r="J684" i="7"/>
  <c r="K685" i="7"/>
  <c r="J782" i="7"/>
  <c r="K782" i="7" s="1"/>
  <c r="K783" i="7"/>
  <c r="J235" i="7"/>
  <c r="K236" i="7"/>
  <c r="J61" i="7"/>
  <c r="K61" i="7" s="1"/>
  <c r="K62" i="7"/>
  <c r="J453" i="7"/>
  <c r="K454" i="7"/>
  <c r="J343" i="7"/>
  <c r="K344" i="7"/>
  <c r="J227" i="7"/>
  <c r="K228" i="7"/>
  <c r="J15" i="7"/>
  <c r="K16" i="7"/>
  <c r="J578" i="7"/>
  <c r="K578" i="7" s="1"/>
  <c r="K579" i="7"/>
  <c r="J607" i="7"/>
  <c r="K608" i="7"/>
  <c r="J239" i="7"/>
  <c r="K240" i="7"/>
  <c r="J557" i="7"/>
  <c r="K558" i="7"/>
  <c r="J597" i="7"/>
  <c r="K597" i="7" s="1"/>
  <c r="K598" i="7"/>
  <c r="J220" i="7"/>
  <c r="K220" i="7" s="1"/>
  <c r="K221" i="7"/>
  <c r="J560" i="7"/>
  <c r="K560" i="7" s="1"/>
  <c r="K561" i="7"/>
  <c r="J276" i="7"/>
  <c r="K277" i="7"/>
  <c r="J473" i="7"/>
  <c r="K474" i="7"/>
  <c r="J56" i="7"/>
  <c r="K56" i="7" s="1"/>
  <c r="K57" i="7"/>
  <c r="J443" i="7"/>
  <c r="K443" i="7" s="1"/>
  <c r="J85" i="7"/>
  <c r="K93" i="7"/>
  <c r="J479" i="7"/>
  <c r="K479" i="7" s="1"/>
  <c r="K480" i="7"/>
  <c r="J735" i="7"/>
  <c r="K736" i="7"/>
  <c r="F596" i="7"/>
  <c r="D184" i="9"/>
  <c r="D183" i="9" s="1"/>
  <c r="AF362" i="2"/>
  <c r="AF361" i="2" s="1"/>
  <c r="AG361" i="2" s="1"/>
  <c r="AG14" i="2"/>
  <c r="H15" i="7"/>
  <c r="H14" i="7" s="1"/>
  <c r="H13" i="7" s="1"/>
  <c r="H12" i="7" s="1"/>
  <c r="E10" i="10" s="1"/>
  <c r="E9" i="10" s="1"/>
  <c r="E57" i="10" s="1"/>
  <c r="AD17" i="2"/>
  <c r="AG518" i="2"/>
  <c r="AF492" i="2"/>
  <c r="AG492" i="2" s="1"/>
  <c r="AF484" i="2"/>
  <c r="AG484" i="2" s="1"/>
  <c r="AG485" i="2"/>
  <c r="AF487" i="2"/>
  <c r="AG487" i="2" s="1"/>
  <c r="AG488" i="2"/>
  <c r="AF465" i="2"/>
  <c r="AG466" i="2"/>
  <c r="AF455" i="2"/>
  <c r="AG459" i="2"/>
  <c r="AF443" i="2"/>
  <c r="AG444" i="2"/>
  <c r="AF381" i="2"/>
  <c r="AG381" i="2" s="1"/>
  <c r="AG382" i="2"/>
  <c r="AG350" i="2"/>
  <c r="AG351" i="2"/>
  <c r="AF338" i="2"/>
  <c r="AG338" i="2" s="1"/>
  <c r="AG339" i="2"/>
  <c r="AF333" i="2"/>
  <c r="AG334" i="2"/>
  <c r="AF318" i="2"/>
  <c r="AG319" i="2"/>
  <c r="AF309" i="2"/>
  <c r="AF303" i="2" s="1"/>
  <c r="AG310" i="2"/>
  <c r="AF299" i="2"/>
  <c r="AG300" i="2"/>
  <c r="AF286" i="2"/>
  <c r="AF285" i="2" s="1"/>
  <c r="AG290" i="2"/>
  <c r="AF261" i="2"/>
  <c r="AG262" i="2"/>
  <c r="AF243" i="2"/>
  <c r="AG244" i="2"/>
  <c r="AF237" i="2"/>
  <c r="AG237" i="2" s="1"/>
  <c r="AG238" i="2"/>
  <c r="AF233" i="2"/>
  <c r="AG233" i="2" s="1"/>
  <c r="AG234" i="2"/>
  <c r="AF229" i="2"/>
  <c r="AG230" i="2"/>
  <c r="AF222" i="2"/>
  <c r="AG223" i="2"/>
  <c r="AF211" i="2"/>
  <c r="AG212" i="2"/>
  <c r="AF205" i="2"/>
  <c r="AG206" i="2"/>
  <c r="AF196" i="2"/>
  <c r="AG197" i="2"/>
  <c r="AF187" i="2"/>
  <c r="AG188" i="2"/>
  <c r="AF175" i="2"/>
  <c r="AG176" i="2"/>
  <c r="AF166" i="2"/>
  <c r="AG167" i="2"/>
  <c r="AF159" i="2"/>
  <c r="AG159" i="2" s="1"/>
  <c r="AG160" i="2"/>
  <c r="AF155" i="2"/>
  <c r="AG156" i="2"/>
  <c r="AF147" i="2"/>
  <c r="AG148" i="2"/>
  <c r="AF139" i="2"/>
  <c r="AG140" i="2"/>
  <c r="AF119" i="2"/>
  <c r="AG119" i="2" s="1"/>
  <c r="AG120" i="2"/>
  <c r="AF111" i="2"/>
  <c r="AG112" i="2"/>
  <c r="AF100" i="2"/>
  <c r="AG101" i="2"/>
  <c r="AF62" i="2"/>
  <c r="AG62" i="2" s="1"/>
  <c r="AG63" i="2"/>
  <c r="AF56" i="2"/>
  <c r="AG57" i="2"/>
  <c r="AF47" i="2"/>
  <c r="AG48" i="2"/>
  <c r="AF28" i="2"/>
  <c r="AG29" i="2"/>
  <c r="AF20" i="2"/>
  <c r="AG21" i="2"/>
  <c r="AF12" i="2"/>
  <c r="AG13" i="2"/>
  <c r="G732" i="7"/>
  <c r="G731" i="7" s="1"/>
  <c r="G730" i="7" s="1"/>
  <c r="AD105" i="2"/>
  <c r="AD104" i="2" s="1"/>
  <c r="AD283" i="2"/>
  <c r="D30" i="9"/>
  <c r="D29" i="9" s="1"/>
  <c r="J746" i="7"/>
  <c r="AD374" i="2"/>
  <c r="AD373" i="2" s="1"/>
  <c r="AD360" i="2" s="1"/>
  <c r="AD359" i="2" s="1"/>
  <c r="F733" i="7"/>
  <c r="F443" i="7"/>
  <c r="F552" i="7"/>
  <c r="F551" i="7" s="1"/>
  <c r="G551" i="7"/>
  <c r="G550" i="7" s="1"/>
  <c r="G549" i="7" s="1"/>
  <c r="D595" i="9"/>
  <c r="D594" i="9" s="1"/>
  <c r="F660" i="7"/>
  <c r="F656" i="7" s="1"/>
  <c r="J439" i="7"/>
  <c r="F439" i="7"/>
  <c r="F484" i="7"/>
  <c r="F267" i="7"/>
  <c r="F266" i="7" s="1"/>
  <c r="F265" i="7" s="1"/>
  <c r="F317" i="9"/>
  <c r="D317" i="9"/>
  <c r="D316" i="9" s="1"/>
  <c r="D315" i="9" s="1"/>
  <c r="G572" i="7"/>
  <c r="G571" i="7" s="1"/>
  <c r="G570" i="7" s="1"/>
  <c r="D164" i="9"/>
  <c r="J656" i="7"/>
  <c r="K656" i="7" s="1"/>
  <c r="D575" i="9"/>
  <c r="D574" i="9" s="1"/>
  <c r="AD439" i="2"/>
  <c r="F164" i="7"/>
  <c r="F169" i="7"/>
  <c r="J375" i="7"/>
  <c r="F375" i="7"/>
  <c r="F374" i="7" s="1"/>
  <c r="F367" i="7" s="1"/>
  <c r="J886" i="7"/>
  <c r="K886" i="7" s="1"/>
  <c r="J887" i="7"/>
  <c r="K887" i="7" s="1"/>
  <c r="J889" i="7"/>
  <c r="L284" i="7"/>
  <c r="G284" i="7"/>
  <c r="G283" i="7" s="1"/>
  <c r="G282" i="7" s="1"/>
  <c r="G281" i="7" s="1"/>
  <c r="G280" i="7" s="1"/>
  <c r="G279" i="7" s="1"/>
  <c r="F284" i="7"/>
  <c r="F283" i="7" s="1"/>
  <c r="F282" i="7" s="1"/>
  <c r="F281" i="7" s="1"/>
  <c r="F280" i="7" s="1"/>
  <c r="D24" i="10" s="1"/>
  <c r="L366" i="7"/>
  <c r="M366" i="7" s="1"/>
  <c r="D478" i="9"/>
  <c r="AF337" i="2"/>
  <c r="AG337" i="2" s="1"/>
  <c r="AD337" i="2"/>
  <c r="AD330" i="2" s="1"/>
  <c r="AD164" i="2"/>
  <c r="AD163" i="2" s="1"/>
  <c r="AF396" i="2"/>
  <c r="J219" i="7"/>
  <c r="F219" i="7"/>
  <c r="F218" i="7" s="1"/>
  <c r="F217" i="7" s="1"/>
  <c r="F216" i="7" s="1"/>
  <c r="G219" i="7"/>
  <c r="G218" i="7" s="1"/>
  <c r="G217" i="7" s="1"/>
  <c r="G216" i="7" s="1"/>
  <c r="G215" i="7" s="1"/>
  <c r="D505" i="9"/>
  <c r="D504" i="9" s="1"/>
  <c r="D268" i="9"/>
  <c r="AD194" i="2"/>
  <c r="AD193" i="2" s="1"/>
  <c r="J250" i="7"/>
  <c r="F233" i="7"/>
  <c r="F232" i="7" s="1"/>
  <c r="F231" i="7" s="1"/>
  <c r="D20" i="10" s="1"/>
  <c r="AF87" i="2"/>
  <c r="AD87" i="2"/>
  <c r="AD78" i="2" s="1"/>
  <c r="AD77" i="2" s="1"/>
  <c r="AD61" i="2" s="1"/>
  <c r="D459" i="9"/>
  <c r="J163" i="7"/>
  <c r="K163" i="7" s="1"/>
  <c r="F635" i="7"/>
  <c r="D667" i="9"/>
  <c r="D264" i="9"/>
  <c r="J255" i="7"/>
  <c r="F255" i="7"/>
  <c r="F254" i="7" s="1"/>
  <c r="F253" i="7" s="1"/>
  <c r="D431" i="9"/>
  <c r="G716" i="7"/>
  <c r="G715" i="7" s="1"/>
  <c r="G699" i="7" s="1"/>
  <c r="D203" i="9"/>
  <c r="D419" i="9"/>
  <c r="J703" i="7"/>
  <c r="K703" i="7" s="1"/>
  <c r="L651" i="7"/>
  <c r="G651" i="7"/>
  <c r="G650" i="7" s="1"/>
  <c r="G649" i="7" s="1"/>
  <c r="G634" i="7" s="1"/>
  <c r="AD200" i="2"/>
  <c r="D383" i="9"/>
  <c r="F337" i="7"/>
  <c r="F336" i="7" s="1"/>
  <c r="F335" i="7" s="1"/>
  <c r="D27" i="10" s="1"/>
  <c r="F246" i="7"/>
  <c r="F245" i="7" s="1"/>
  <c r="J246" i="7"/>
  <c r="J728" i="7"/>
  <c r="F527" i="7"/>
  <c r="F526" i="7" s="1"/>
  <c r="J188" i="7"/>
  <c r="F548" i="9"/>
  <c r="G463" i="7"/>
  <c r="G462" i="7" s="1"/>
  <c r="F117" i="7"/>
  <c r="F318" i="7"/>
  <c r="F317" i="7" s="1"/>
  <c r="F310" i="7" s="1"/>
  <c r="F309" i="7" s="1"/>
  <c r="F866" i="7"/>
  <c r="F865" i="7" s="1"/>
  <c r="F720" i="7"/>
  <c r="F719" i="7" s="1"/>
  <c r="F718" i="7" s="1"/>
  <c r="F717" i="7" s="1"/>
  <c r="F589" i="9"/>
  <c r="AD345" i="2"/>
  <c r="F55" i="7"/>
  <c r="F54" i="7" s="1"/>
  <c r="F53" i="7" s="1"/>
  <c r="F52" i="7" s="1"/>
  <c r="F43" i="7" s="1"/>
  <c r="F754" i="7"/>
  <c r="F753" i="7" s="1"/>
  <c r="F577" i="7"/>
  <c r="F573" i="7" s="1"/>
  <c r="F689" i="7"/>
  <c r="J670" i="7"/>
  <c r="K670" i="7" s="1"/>
  <c r="F770" i="7"/>
  <c r="F769" i="7" s="1"/>
  <c r="F768" i="7" s="1"/>
  <c r="F767" i="7" s="1"/>
  <c r="J842" i="7"/>
  <c r="F330" i="9"/>
  <c r="J866" i="7"/>
  <c r="F140" i="7"/>
  <c r="F139" i="7" s="1"/>
  <c r="F477" i="7"/>
  <c r="F476" i="7" s="1"/>
  <c r="F464" i="7" s="1"/>
  <c r="F353" i="7"/>
  <c r="F352" i="7" s="1"/>
  <c r="F351" i="7" s="1"/>
  <c r="F350" i="7" s="1"/>
  <c r="J719" i="7"/>
  <c r="K719" i="7" s="1"/>
  <c r="F854" i="7"/>
  <c r="F853" i="7" s="1"/>
  <c r="F852" i="7" s="1"/>
  <c r="D50" i="10" s="1"/>
  <c r="F836" i="7"/>
  <c r="F300" i="7"/>
  <c r="F299" i="7" s="1"/>
  <c r="F298" i="7" s="1"/>
  <c r="F297" i="7" s="1"/>
  <c r="F289" i="7" s="1"/>
  <c r="F670" i="7"/>
  <c r="D567" i="9"/>
  <c r="F703" i="7"/>
  <c r="G47" i="7"/>
  <c r="G46" i="7" s="1"/>
  <c r="G45" i="7" s="1"/>
  <c r="F126" i="7"/>
  <c r="F125" i="7" s="1"/>
  <c r="F85" i="7"/>
  <c r="F84" i="7" s="1"/>
  <c r="F83" i="7" s="1"/>
  <c r="J134" i="7"/>
  <c r="F104" i="7"/>
  <c r="G134" i="7"/>
  <c r="G133" i="7" s="1"/>
  <c r="G124" i="7" s="1"/>
  <c r="G123" i="7" s="1"/>
  <c r="G122" i="7" s="1"/>
  <c r="J126" i="7"/>
  <c r="J828" i="7"/>
  <c r="D53" i="9"/>
  <c r="D52" i="9" s="1"/>
  <c r="D51" i="9" s="1"/>
  <c r="G831" i="7"/>
  <c r="G828" i="7" s="1"/>
  <c r="G827" i="7" s="1"/>
  <c r="G826" i="7" s="1"/>
  <c r="G825" i="7" s="1"/>
  <c r="L134" i="7"/>
  <c r="D399" i="9"/>
  <c r="D398" i="9" s="1"/>
  <c r="G835" i="7"/>
  <c r="D110" i="9"/>
  <c r="D102" i="9" s="1"/>
  <c r="F33" i="7"/>
  <c r="F26" i="7" s="1"/>
  <c r="F19" i="7" s="1"/>
  <c r="D219" i="9"/>
  <c r="D218" i="9" s="1"/>
  <c r="D217" i="9" s="1"/>
  <c r="F219" i="9"/>
  <c r="F828" i="7"/>
  <c r="F827" i="7" s="1"/>
  <c r="F826" i="7" s="1"/>
  <c r="F825" i="7" s="1"/>
  <c r="D513" i="9"/>
  <c r="J47" i="7"/>
  <c r="F249" i="7"/>
  <c r="D224" i="9"/>
  <c r="F252" i="9"/>
  <c r="F256" i="9"/>
  <c r="G256" i="9" s="1"/>
  <c r="F813" i="7"/>
  <c r="F812" i="7" s="1"/>
  <c r="F814" i="7"/>
  <c r="L831" i="7"/>
  <c r="F394" i="9"/>
  <c r="G394" i="9" s="1"/>
  <c r="D393" i="9"/>
  <c r="D392" i="9" s="1"/>
  <c r="D394" i="9"/>
  <c r="D10" i="10"/>
  <c r="F206" i="9" l="1"/>
  <c r="J104" i="7"/>
  <c r="J577" i="7"/>
  <c r="L47" i="7"/>
  <c r="J55" i="7"/>
  <c r="AG362" i="2"/>
  <c r="F275" i="9"/>
  <c r="F264" i="9"/>
  <c r="G264" i="9" s="1"/>
  <c r="F179" i="9"/>
  <c r="F393" i="9"/>
  <c r="G393" i="9" s="1"/>
  <c r="F465" i="9"/>
  <c r="G465" i="9" s="1"/>
  <c r="F54" i="9"/>
  <c r="F380" i="9"/>
  <c r="F379" i="9" s="1"/>
  <c r="G379" i="9" s="1"/>
  <c r="F218" i="9"/>
  <c r="G219" i="9"/>
  <c r="F688" i="9"/>
  <c r="G688" i="9" s="1"/>
  <c r="G689" i="9"/>
  <c r="F261" i="9"/>
  <c r="G262" i="9"/>
  <c r="F510" i="9"/>
  <c r="G511" i="9"/>
  <c r="F547" i="9"/>
  <c r="G548" i="9"/>
  <c r="G275" i="9"/>
  <c r="F536" i="9"/>
  <c r="G537" i="9"/>
  <c r="F448" i="9"/>
  <c r="G448" i="9" s="1"/>
  <c r="G449" i="9"/>
  <c r="F517" i="9"/>
  <c r="G518" i="9"/>
  <c r="F470" i="9"/>
  <c r="G470" i="9" s="1"/>
  <c r="G471" i="9"/>
  <c r="F675" i="9"/>
  <c r="G676" i="9"/>
  <c r="F425" i="9"/>
  <c r="G426" i="9"/>
  <c r="F282" i="9"/>
  <c r="G282" i="9" s="1"/>
  <c r="G283" i="9"/>
  <c r="F698" i="9"/>
  <c r="G699" i="9"/>
  <c r="L650" i="7"/>
  <c r="M650" i="7" s="1"/>
  <c r="M651" i="7"/>
  <c r="L283" i="7"/>
  <c r="M284" i="7"/>
  <c r="F416" i="9"/>
  <c r="G416" i="9" s="1"/>
  <c r="G417" i="9"/>
  <c r="L177" i="7"/>
  <c r="M178" i="7"/>
  <c r="F555" i="9"/>
  <c r="G556" i="9"/>
  <c r="F531" i="9"/>
  <c r="G531" i="9" s="1"/>
  <c r="G532" i="9"/>
  <c r="F300" i="9"/>
  <c r="G301" i="9"/>
  <c r="F603" i="9"/>
  <c r="G603" i="9" s="1"/>
  <c r="G604" i="9"/>
  <c r="F528" i="9"/>
  <c r="G529" i="9"/>
  <c r="F194" i="9"/>
  <c r="G194" i="9" s="1"/>
  <c r="G195" i="9"/>
  <c r="L560" i="7"/>
  <c r="M561" i="7"/>
  <c r="F495" i="9"/>
  <c r="G496" i="9"/>
  <c r="G206" i="9"/>
  <c r="F588" i="9"/>
  <c r="G589" i="9"/>
  <c r="F657" i="9"/>
  <c r="G657" i="9" s="1"/>
  <c r="G658" i="9"/>
  <c r="F615" i="9"/>
  <c r="G615" i="9" s="1"/>
  <c r="G616" i="9"/>
  <c r="L828" i="7"/>
  <c r="M831" i="7"/>
  <c r="F329" i="9"/>
  <c r="G330" i="9"/>
  <c r="F107" i="9"/>
  <c r="G108" i="9"/>
  <c r="F685" i="9"/>
  <c r="G686" i="9"/>
  <c r="F520" i="9"/>
  <c r="G520" i="9" s="1"/>
  <c r="G521" i="9"/>
  <c r="F403" i="9"/>
  <c r="G403" i="9" s="1"/>
  <c r="G404" i="9"/>
  <c r="F150" i="9"/>
  <c r="G151" i="9"/>
  <c r="F428" i="9"/>
  <c r="G428" i="9" s="1"/>
  <c r="G429" i="9"/>
  <c r="G225" i="9"/>
  <c r="F224" i="9"/>
  <c r="G224" i="9" s="1"/>
  <c r="F456" i="9"/>
  <c r="G456" i="9" s="1"/>
  <c r="G457" i="9"/>
  <c r="F37" i="9"/>
  <c r="G37" i="9" s="1"/>
  <c r="G38" i="9"/>
  <c r="L220" i="7"/>
  <c r="M221" i="7"/>
  <c r="F584" i="9"/>
  <c r="G584" i="9" s="1"/>
  <c r="G585" i="9"/>
  <c r="F214" i="9"/>
  <c r="G214" i="9" s="1"/>
  <c r="G215" i="9"/>
  <c r="F654" i="9"/>
  <c r="G654" i="9" s="1"/>
  <c r="G655" i="9"/>
  <c r="F316" i="9"/>
  <c r="G317" i="9"/>
  <c r="F591" i="9"/>
  <c r="G592" i="9"/>
  <c r="F111" i="9"/>
  <c r="G112" i="9"/>
  <c r="L584" i="7"/>
  <c r="M585" i="7"/>
  <c r="F19" i="9"/>
  <c r="G20" i="9"/>
  <c r="F551" i="9"/>
  <c r="G552" i="9"/>
  <c r="F525" i="9"/>
  <c r="G525" i="9" s="1"/>
  <c r="G526" i="9"/>
  <c r="F558" i="9"/>
  <c r="G558" i="9" s="1"/>
  <c r="G559" i="9"/>
  <c r="F681" i="9"/>
  <c r="G681" i="9" s="1"/>
  <c r="G682" i="9"/>
  <c r="F678" i="9"/>
  <c r="G678" i="9" s="1"/>
  <c r="G679" i="9"/>
  <c r="J596" i="7"/>
  <c r="K596" i="7" s="1"/>
  <c r="F400" i="9"/>
  <c r="G401" i="9"/>
  <c r="L846" i="7"/>
  <c r="M847" i="7"/>
  <c r="F668" i="9"/>
  <c r="G668" i="9" s="1"/>
  <c r="G669" i="9"/>
  <c r="F411" i="9"/>
  <c r="G412" i="9"/>
  <c r="F287" i="9"/>
  <c r="G288" i="9"/>
  <c r="F649" i="9"/>
  <c r="G650" i="9"/>
  <c r="F406" i="9"/>
  <c r="G406" i="9" s="1"/>
  <c r="G407" i="9"/>
  <c r="F480" i="9"/>
  <c r="G481" i="9"/>
  <c r="F296" i="9"/>
  <c r="G297" i="9"/>
  <c r="F305" i="9"/>
  <c r="G306" i="9"/>
  <c r="M746" i="7"/>
  <c r="L745" i="7"/>
  <c r="F506" i="9"/>
  <c r="G507" i="9"/>
  <c r="F272" i="9"/>
  <c r="G272" i="9" s="1"/>
  <c r="G273" i="9"/>
  <c r="F31" i="9"/>
  <c r="G32" i="9"/>
  <c r="F251" i="9"/>
  <c r="G252" i="9"/>
  <c r="F164" i="9"/>
  <c r="G164" i="9" s="1"/>
  <c r="G179" i="9"/>
  <c r="J484" i="7"/>
  <c r="K484" i="7" s="1"/>
  <c r="L597" i="7"/>
  <c r="M598" i="7"/>
  <c r="F59" i="9"/>
  <c r="G59" i="9" s="1"/>
  <c r="G60" i="9"/>
  <c r="F235" i="9"/>
  <c r="G236" i="9"/>
  <c r="F34" i="9"/>
  <c r="G34" i="9" s="1"/>
  <c r="G35" i="9"/>
  <c r="F89" i="9"/>
  <c r="G90" i="9"/>
  <c r="L46" i="7"/>
  <c r="M47" i="7"/>
  <c r="G54" i="9"/>
  <c r="J527" i="7"/>
  <c r="J526" i="7" s="1"/>
  <c r="F460" i="9"/>
  <c r="G460" i="9" s="1"/>
  <c r="F332" i="9"/>
  <c r="G333" i="9"/>
  <c r="M837" i="7"/>
  <c r="L836" i="7"/>
  <c r="M836" i="7" s="1"/>
  <c r="F691" i="9"/>
  <c r="G691" i="9" s="1"/>
  <c r="G692" i="9"/>
  <c r="F442" i="9"/>
  <c r="G443" i="9"/>
  <c r="L357" i="7"/>
  <c r="M358" i="7"/>
  <c r="G137" i="9"/>
  <c r="F136" i="9"/>
  <c r="G136" i="9" s="1"/>
  <c r="F200" i="9"/>
  <c r="G201" i="9"/>
  <c r="F484" i="9"/>
  <c r="G485" i="9"/>
  <c r="F445" i="9"/>
  <c r="G445" i="9" s="1"/>
  <c r="G446" i="9"/>
  <c r="F269" i="9"/>
  <c r="G269" i="9" s="1"/>
  <c r="G270" i="9"/>
  <c r="F191" i="9"/>
  <c r="G191" i="9" s="1"/>
  <c r="G192" i="9"/>
  <c r="F114" i="9"/>
  <c r="G114" i="9" s="1"/>
  <c r="G115" i="9"/>
  <c r="F186" i="9"/>
  <c r="G187" i="9"/>
  <c r="D259" i="9"/>
  <c r="D258" i="9" s="1"/>
  <c r="D197" i="9"/>
  <c r="L133" i="7"/>
  <c r="M134" i="7"/>
  <c r="L717" i="7"/>
  <c r="M718" i="7"/>
  <c r="J54" i="7"/>
  <c r="K55" i="7"/>
  <c r="J727" i="7"/>
  <c r="K727" i="7" s="1"/>
  <c r="K728" i="7"/>
  <c r="J218" i="7"/>
  <c r="K219" i="7"/>
  <c r="J827" i="7"/>
  <c r="K828" i="7"/>
  <c r="J841" i="7"/>
  <c r="K842" i="7"/>
  <c r="J464" i="7"/>
  <c r="K473" i="7"/>
  <c r="J238" i="7"/>
  <c r="K239" i="7"/>
  <c r="J452" i="7"/>
  <c r="K453" i="7"/>
  <c r="J855" i="7"/>
  <c r="K859" i="7"/>
  <c r="J33" i="7"/>
  <c r="K34" i="7"/>
  <c r="J768" i="7"/>
  <c r="K769" i="7"/>
  <c r="J338" i="7"/>
  <c r="K339" i="7"/>
  <c r="J293" i="7"/>
  <c r="K294" i="7"/>
  <c r="J125" i="7"/>
  <c r="K125" i="7" s="1"/>
  <c r="K126" i="7"/>
  <c r="J573" i="7"/>
  <c r="K573" i="7" s="1"/>
  <c r="K577" i="7"/>
  <c r="J275" i="7"/>
  <c r="K276" i="7"/>
  <c r="J606" i="7"/>
  <c r="K606" i="7" s="1"/>
  <c r="K607" i="7"/>
  <c r="J651" i="7"/>
  <c r="K652" i="7"/>
  <c r="J176" i="7"/>
  <c r="K177" i="7"/>
  <c r="J265" i="7"/>
  <c r="K265" i="7" s="1"/>
  <c r="K266" i="7"/>
  <c r="J745" i="7"/>
  <c r="K745" i="7" s="1"/>
  <c r="K746" i="7"/>
  <c r="J734" i="7"/>
  <c r="K735" i="7"/>
  <c r="J245" i="7"/>
  <c r="K245" i="7" s="1"/>
  <c r="K246" i="7"/>
  <c r="J103" i="7"/>
  <c r="K103" i="7" s="1"/>
  <c r="K104" i="7"/>
  <c r="J374" i="7"/>
  <c r="K375" i="7"/>
  <c r="J234" i="7"/>
  <c r="K234" i="7" s="1"/>
  <c r="K235" i="7"/>
  <c r="K779" i="7"/>
  <c r="J778" i="7"/>
  <c r="K778" i="7" s="1"/>
  <c r="J689" i="7"/>
  <c r="K690" i="7"/>
  <c r="J73" i="7"/>
  <c r="K74" i="7"/>
  <c r="J370" i="7"/>
  <c r="K371" i="7"/>
  <c r="J249" i="7"/>
  <c r="K249" i="7" s="1"/>
  <c r="K250" i="7"/>
  <c r="J187" i="7"/>
  <c r="K188" i="7"/>
  <c r="J14" i="7"/>
  <c r="K15" i="7"/>
  <c r="J346" i="7"/>
  <c r="K346" i="7" s="1"/>
  <c r="K347" i="7"/>
  <c r="K118" i="7"/>
  <c r="J117" i="7"/>
  <c r="J353" i="7"/>
  <c r="K357" i="7"/>
  <c r="J321" i="7"/>
  <c r="K322" i="7"/>
  <c r="K812" i="7"/>
  <c r="F47" i="10"/>
  <c r="G47" i="10" s="1"/>
  <c r="J438" i="7"/>
  <c r="K439" i="7"/>
  <c r="J84" i="7"/>
  <c r="K85" i="7"/>
  <c r="J46" i="7"/>
  <c r="K47" i="7"/>
  <c r="J133" i="7"/>
  <c r="K133" i="7" s="1"/>
  <c r="K134" i="7"/>
  <c r="J226" i="7"/>
  <c r="K227" i="7"/>
  <c r="J683" i="7"/>
  <c r="K684" i="7"/>
  <c r="J310" i="7"/>
  <c r="K311" i="7"/>
  <c r="J282" i="7"/>
  <c r="K283" i="7"/>
  <c r="J845" i="7"/>
  <c r="K846" i="7"/>
  <c r="J888" i="7"/>
  <c r="K888" i="7" s="1"/>
  <c r="K889" i="7"/>
  <c r="J865" i="7"/>
  <c r="K866" i="7"/>
  <c r="J254" i="7"/>
  <c r="K255" i="7"/>
  <c r="J556" i="7"/>
  <c r="K557" i="7"/>
  <c r="J342" i="7"/>
  <c r="K342" i="7" s="1"/>
  <c r="K343" i="7"/>
  <c r="J637" i="7"/>
  <c r="K638" i="7"/>
  <c r="J300" i="7"/>
  <c r="K304" i="7"/>
  <c r="H11" i="7"/>
  <c r="H892" i="7" s="1"/>
  <c r="G44" i="7"/>
  <c r="G43" i="7" s="1"/>
  <c r="G11" i="7" s="1"/>
  <c r="J702" i="7"/>
  <c r="F702" i="7"/>
  <c r="F701" i="7" s="1"/>
  <c r="F700" i="7" s="1"/>
  <c r="AG196" i="2"/>
  <c r="AF195" i="2"/>
  <c r="AG195" i="2" s="1"/>
  <c r="AG286" i="2"/>
  <c r="AF374" i="2"/>
  <c r="AF373" i="2" s="1"/>
  <c r="AG373" i="2" s="1"/>
  <c r="AF464" i="2"/>
  <c r="AG465" i="2"/>
  <c r="AG455" i="2"/>
  <c r="AF454" i="2"/>
  <c r="AG443" i="2"/>
  <c r="AF441" i="2"/>
  <c r="AF442" i="2"/>
  <c r="AG442" i="2" s="1"/>
  <c r="AF395" i="2"/>
  <c r="AG395" i="2" s="1"/>
  <c r="AG396" i="2"/>
  <c r="AF348" i="2"/>
  <c r="AG349" i="2"/>
  <c r="AF332" i="2"/>
  <c r="AG333" i="2"/>
  <c r="AF317" i="2"/>
  <c r="AG318" i="2"/>
  <c r="AG303" i="2"/>
  <c r="AG309" i="2"/>
  <c r="AF298" i="2"/>
  <c r="AG299" i="2"/>
  <c r="AF284" i="2"/>
  <c r="AG285" i="2"/>
  <c r="AF260" i="2"/>
  <c r="AG261" i="2"/>
  <c r="AF242" i="2"/>
  <c r="AG243" i="2"/>
  <c r="AG229" i="2"/>
  <c r="AF228" i="2"/>
  <c r="AF221" i="2"/>
  <c r="AG222" i="2"/>
  <c r="AF210" i="2"/>
  <c r="AG211" i="2"/>
  <c r="AF204" i="2"/>
  <c r="AG205" i="2"/>
  <c r="AF186" i="2"/>
  <c r="AG186" i="2" s="1"/>
  <c r="AG187" i="2"/>
  <c r="AF174" i="2"/>
  <c r="AG174" i="2" s="1"/>
  <c r="AG175" i="2"/>
  <c r="AF165" i="2"/>
  <c r="AG166" i="2"/>
  <c r="AG155" i="2"/>
  <c r="AF154" i="2"/>
  <c r="AF146" i="2"/>
  <c r="AG147" i="2"/>
  <c r="AF138" i="2"/>
  <c r="AG139" i="2"/>
  <c r="AF110" i="2"/>
  <c r="AG111" i="2"/>
  <c r="AF99" i="2"/>
  <c r="AG100" i="2"/>
  <c r="AF78" i="2"/>
  <c r="AF77" i="2" s="1"/>
  <c r="AG87" i="2"/>
  <c r="AG56" i="2"/>
  <c r="AF55" i="2"/>
  <c r="AG55" i="2" s="1"/>
  <c r="AF46" i="2"/>
  <c r="AG47" i="2"/>
  <c r="AF27" i="2"/>
  <c r="AG28" i="2"/>
  <c r="AF19" i="2"/>
  <c r="AF18" i="2" s="1"/>
  <c r="AG18" i="2" s="1"/>
  <c r="AG20" i="2"/>
  <c r="AF11" i="2"/>
  <c r="AG12" i="2"/>
  <c r="F746" i="7"/>
  <c r="F745" i="7" s="1"/>
  <c r="F732" i="7" s="1"/>
  <c r="F731" i="7" s="1"/>
  <c r="D380" i="9"/>
  <c r="D379" i="9" s="1"/>
  <c r="D378" i="9" s="1"/>
  <c r="D477" i="9"/>
  <c r="F438" i="7"/>
  <c r="F437" i="7" s="1"/>
  <c r="F572" i="7"/>
  <c r="F244" i="7"/>
  <c r="F243" i="7" s="1"/>
  <c r="F242" i="7" s="1"/>
  <c r="D101" i="9"/>
  <c r="D100" i="9" s="1"/>
  <c r="D16" i="9"/>
  <c r="AD314" i="2"/>
  <c r="J885" i="7"/>
  <c r="K885" i="7" s="1"/>
  <c r="J884" i="7"/>
  <c r="K884" i="7" s="1"/>
  <c r="F82" i="7"/>
  <c r="D322" i="9"/>
  <c r="F835" i="7"/>
  <c r="F824" i="7" s="1"/>
  <c r="F811" i="7" s="1"/>
  <c r="D415" i="9"/>
  <c r="D414" i="9" s="1"/>
  <c r="F864" i="7"/>
  <c r="F863" i="7" s="1"/>
  <c r="F862" i="7" s="1"/>
  <c r="AD60" i="2"/>
  <c r="AD9" i="2" s="1"/>
  <c r="F550" i="7"/>
  <c r="F549" i="7" s="1"/>
  <c r="D14" i="10"/>
  <c r="D11" i="10"/>
  <c r="D573" i="9"/>
  <c r="F688" i="7"/>
  <c r="F687" i="7" s="1"/>
  <c r="F680" i="7" s="1"/>
  <c r="D40" i="10" s="1"/>
  <c r="F273" i="7"/>
  <c r="F272" i="7" s="1"/>
  <c r="D22" i="10" s="1"/>
  <c r="D17" i="10"/>
  <c r="D16" i="10" s="1"/>
  <c r="F215" i="7"/>
  <c r="J151" i="7"/>
  <c r="G824" i="7"/>
  <c r="G811" i="7" s="1"/>
  <c r="F163" i="7"/>
  <c r="F151" i="7" s="1"/>
  <c r="AD358" i="2"/>
  <c r="F655" i="7"/>
  <c r="F649" i="7" s="1"/>
  <c r="F634" i="7" s="1"/>
  <c r="J655" i="7"/>
  <c r="K655" i="7" s="1"/>
  <c r="D47" i="10"/>
  <c r="L649" i="7"/>
  <c r="F716" i="7"/>
  <c r="F715" i="7" s="1"/>
  <c r="F525" i="7"/>
  <c r="D25" i="10"/>
  <c r="D539" i="9"/>
  <c r="D28" i="10"/>
  <c r="AD151" i="2"/>
  <c r="F483" i="7"/>
  <c r="F308" i="7"/>
  <c r="F463" i="7"/>
  <c r="D56" i="10"/>
  <c r="D55" i="10" s="1"/>
  <c r="F124" i="7"/>
  <c r="F103" i="7"/>
  <c r="F392" i="9" l="1"/>
  <c r="G392" i="9" s="1"/>
  <c r="AF194" i="2"/>
  <c r="G380" i="9"/>
  <c r="J483" i="7"/>
  <c r="K483" i="7" s="1"/>
  <c r="K526" i="7"/>
  <c r="J525" i="7"/>
  <c r="K527" i="7"/>
  <c r="J124" i="7"/>
  <c r="K124" i="7" s="1"/>
  <c r="J718" i="7"/>
  <c r="J244" i="7"/>
  <c r="K244" i="7" s="1"/>
  <c r="F53" i="9"/>
  <c r="F52" i="9" s="1"/>
  <c r="F459" i="9"/>
  <c r="G459" i="9" s="1"/>
  <c r="F250" i="9"/>
  <c r="G250" i="9" s="1"/>
  <c r="G251" i="9"/>
  <c r="F295" i="9"/>
  <c r="G296" i="9"/>
  <c r="F483" i="9"/>
  <c r="G483" i="9" s="1"/>
  <c r="G484" i="9"/>
  <c r="L176" i="7"/>
  <c r="M177" i="7"/>
  <c r="G425" i="9"/>
  <c r="F419" i="9"/>
  <c r="G419" i="9" s="1"/>
  <c r="F268" i="9"/>
  <c r="G268" i="9" s="1"/>
  <c r="G31" i="9"/>
  <c r="F30" i="9"/>
  <c r="F479" i="9"/>
  <c r="G480" i="9"/>
  <c r="L845" i="7"/>
  <c r="M846" i="7"/>
  <c r="G186" i="9"/>
  <c r="F185" i="9"/>
  <c r="F199" i="9"/>
  <c r="G200" i="9"/>
  <c r="F331" i="9"/>
  <c r="G331" i="9" s="1"/>
  <c r="G332" i="9"/>
  <c r="F234" i="9"/>
  <c r="G235" i="9"/>
  <c r="F550" i="9"/>
  <c r="G551" i="9"/>
  <c r="F315" i="9"/>
  <c r="G315" i="9" s="1"/>
  <c r="G316" i="9"/>
  <c r="G685" i="9"/>
  <c r="F684" i="9"/>
  <c r="G684" i="9" s="1"/>
  <c r="F587" i="9"/>
  <c r="G588" i="9"/>
  <c r="G528" i="9"/>
  <c r="F524" i="9"/>
  <c r="G675" i="9"/>
  <c r="F674" i="9"/>
  <c r="F546" i="9"/>
  <c r="G547" i="9"/>
  <c r="G400" i="9"/>
  <c r="F399" i="9"/>
  <c r="J572" i="7"/>
  <c r="G19" i="9"/>
  <c r="F18" i="9"/>
  <c r="F106" i="9"/>
  <c r="G106" i="9" s="1"/>
  <c r="G107" i="9"/>
  <c r="F205" i="9"/>
  <c r="L282" i="7"/>
  <c r="M283" i="7"/>
  <c r="F509" i="9"/>
  <c r="G509" i="9" s="1"/>
  <c r="G510" i="9"/>
  <c r="G506" i="9"/>
  <c r="F505" i="9"/>
  <c r="G649" i="9"/>
  <c r="F648" i="9"/>
  <c r="L353" i="7"/>
  <c r="M357" i="7"/>
  <c r="L596" i="7"/>
  <c r="M596" i="7" s="1"/>
  <c r="M597" i="7"/>
  <c r="L732" i="7"/>
  <c r="M745" i="7"/>
  <c r="L573" i="7"/>
  <c r="M584" i="7"/>
  <c r="F328" i="9"/>
  <c r="G329" i="9"/>
  <c r="F299" i="9"/>
  <c r="G299" i="9" s="1"/>
  <c r="G300" i="9"/>
  <c r="F516" i="9"/>
  <c r="G517" i="9"/>
  <c r="F260" i="9"/>
  <c r="G261" i="9"/>
  <c r="F286" i="9"/>
  <c r="G287" i="9"/>
  <c r="G442" i="9"/>
  <c r="F431" i="9"/>
  <c r="G431" i="9" s="1"/>
  <c r="L45" i="7"/>
  <c r="M46" i="7"/>
  <c r="G111" i="9"/>
  <c r="F110" i="9"/>
  <c r="F149" i="9"/>
  <c r="G149" i="9" s="1"/>
  <c r="G150" i="9"/>
  <c r="L827" i="7"/>
  <c r="M828" i="7"/>
  <c r="G495" i="9"/>
  <c r="F494" i="9"/>
  <c r="F697" i="9"/>
  <c r="G697" i="9" s="1"/>
  <c r="G698" i="9"/>
  <c r="L634" i="7"/>
  <c r="M634" i="7" s="1"/>
  <c r="M649" i="7"/>
  <c r="G305" i="9"/>
  <c r="F304" i="9"/>
  <c r="F410" i="9"/>
  <c r="G411" i="9"/>
  <c r="F88" i="9"/>
  <c r="G89" i="9"/>
  <c r="F590" i="9"/>
  <c r="G590" i="9" s="1"/>
  <c r="G591" i="9"/>
  <c r="M220" i="7"/>
  <c r="L219" i="7"/>
  <c r="L552" i="7"/>
  <c r="M560" i="7"/>
  <c r="F554" i="9"/>
  <c r="G554" i="9" s="1"/>
  <c r="G555" i="9"/>
  <c r="F535" i="9"/>
  <c r="G536" i="9"/>
  <c r="F217" i="9"/>
  <c r="G217" i="9" s="1"/>
  <c r="G218" i="9"/>
  <c r="L124" i="7"/>
  <c r="M133" i="7"/>
  <c r="M717" i="7"/>
  <c r="L716" i="7"/>
  <c r="J281" i="7"/>
  <c r="K282" i="7"/>
  <c r="J83" i="7"/>
  <c r="K84" i="7"/>
  <c r="J688" i="7"/>
  <c r="K689" i="7"/>
  <c r="K338" i="7"/>
  <c r="J337" i="7"/>
  <c r="J463" i="7"/>
  <c r="K464" i="7"/>
  <c r="J701" i="7"/>
  <c r="K702" i="7"/>
  <c r="J552" i="7"/>
  <c r="K556" i="7"/>
  <c r="J309" i="7"/>
  <c r="K310" i="7"/>
  <c r="J437" i="7"/>
  <c r="K437" i="7" s="1"/>
  <c r="K438" i="7"/>
  <c r="J13" i="7"/>
  <c r="K14" i="7"/>
  <c r="K734" i="7"/>
  <c r="J733" i="7"/>
  <c r="J274" i="7"/>
  <c r="K274" i="7" s="1"/>
  <c r="K275" i="7"/>
  <c r="J767" i="7"/>
  <c r="K767" i="7" s="1"/>
  <c r="K768" i="7"/>
  <c r="J837" i="7"/>
  <c r="K841" i="7"/>
  <c r="J253" i="7"/>
  <c r="K253" i="7" s="1"/>
  <c r="K254" i="7"/>
  <c r="J682" i="7"/>
  <c r="K683" i="7"/>
  <c r="J186" i="7"/>
  <c r="K187" i="7"/>
  <c r="K33" i="7"/>
  <c r="J26" i="7"/>
  <c r="J826" i="7"/>
  <c r="K827" i="7"/>
  <c r="J150" i="7"/>
  <c r="K150" i="7" s="1"/>
  <c r="K151" i="7"/>
  <c r="J571" i="7"/>
  <c r="K572" i="7"/>
  <c r="J864" i="7"/>
  <c r="K865" i="7"/>
  <c r="J225" i="7"/>
  <c r="K226" i="7"/>
  <c r="J320" i="7"/>
  <c r="K320" i="7" s="1"/>
  <c r="K321" i="7"/>
  <c r="K374" i="7"/>
  <c r="K855" i="7"/>
  <c r="J854" i="7"/>
  <c r="J217" i="7"/>
  <c r="K218" i="7"/>
  <c r="J299" i="7"/>
  <c r="K300" i="7"/>
  <c r="J352" i="7"/>
  <c r="K353" i="7"/>
  <c r="J369" i="7"/>
  <c r="K370" i="7"/>
  <c r="K176" i="7"/>
  <c r="J175" i="7"/>
  <c r="J451" i="7"/>
  <c r="K452" i="7"/>
  <c r="K117" i="7"/>
  <c r="F14" i="10"/>
  <c r="G14" i="10" s="1"/>
  <c r="J517" i="7"/>
  <c r="K525" i="7"/>
  <c r="J717" i="7"/>
  <c r="K717" i="7" s="1"/>
  <c r="K718" i="7"/>
  <c r="J636" i="7"/>
  <c r="K637" i="7"/>
  <c r="J844" i="7"/>
  <c r="K844" i="7" s="1"/>
  <c r="K845" i="7"/>
  <c r="J45" i="7"/>
  <c r="K46" i="7"/>
  <c r="J72" i="7"/>
  <c r="K73" i="7"/>
  <c r="J650" i="7"/>
  <c r="K650" i="7" s="1"/>
  <c r="K651" i="7"/>
  <c r="J292" i="7"/>
  <c r="K293" i="7"/>
  <c r="J233" i="7"/>
  <c r="K238" i="7"/>
  <c r="J53" i="7"/>
  <c r="K54" i="7"/>
  <c r="F699" i="7"/>
  <c r="D41" i="10" s="1"/>
  <c r="AG78" i="2"/>
  <c r="AG374" i="2"/>
  <c r="AF360" i="2"/>
  <c r="AG360" i="2" s="1"/>
  <c r="AF463" i="2"/>
  <c r="AG464" i="2"/>
  <c r="AF453" i="2"/>
  <c r="AG454" i="2"/>
  <c r="AF440" i="2"/>
  <c r="AG441" i="2"/>
  <c r="AF347" i="2"/>
  <c r="AF345" i="2" s="1"/>
  <c r="AG348" i="2"/>
  <c r="AG332" i="2"/>
  <c r="AF331" i="2"/>
  <c r="AG317" i="2"/>
  <c r="AF316" i="2"/>
  <c r="AF297" i="2"/>
  <c r="AG298" i="2"/>
  <c r="AG284" i="2"/>
  <c r="AF259" i="2"/>
  <c r="AG259" i="2" s="1"/>
  <c r="AG260" i="2"/>
  <c r="AF241" i="2"/>
  <c r="AG241" i="2" s="1"/>
  <c r="AG242" i="2"/>
  <c r="AF227" i="2"/>
  <c r="AG228" i="2"/>
  <c r="AF220" i="2"/>
  <c r="AG221" i="2"/>
  <c r="AF209" i="2"/>
  <c r="AG209" i="2" s="1"/>
  <c r="AG210" i="2"/>
  <c r="AF203" i="2"/>
  <c r="AG204" i="2"/>
  <c r="AF193" i="2"/>
  <c r="AG193" i="2" s="1"/>
  <c r="AG194" i="2"/>
  <c r="AG165" i="2"/>
  <c r="AF164" i="2"/>
  <c r="AF153" i="2"/>
  <c r="AG154" i="2"/>
  <c r="AF145" i="2"/>
  <c r="AG146" i="2"/>
  <c r="AF137" i="2"/>
  <c r="AG138" i="2"/>
  <c r="AG110" i="2"/>
  <c r="AF105" i="2"/>
  <c r="AF98" i="2"/>
  <c r="AG98" i="2" s="1"/>
  <c r="AG99" i="2"/>
  <c r="AF61" i="2"/>
  <c r="AG77" i="2"/>
  <c r="AF45" i="2"/>
  <c r="AG45" i="2" s="1"/>
  <c r="AG46" i="2"/>
  <c r="AF26" i="2"/>
  <c r="AG26" i="2" s="1"/>
  <c r="AG27" i="2"/>
  <c r="AG19" i="2"/>
  <c r="AF10" i="2"/>
  <c r="AG10" i="2" s="1"/>
  <c r="AG11" i="2"/>
  <c r="F81" i="7"/>
  <c r="F571" i="7"/>
  <c r="F570" i="7" s="1"/>
  <c r="G436" i="7"/>
  <c r="G366" i="7" s="1"/>
  <c r="G548" i="7"/>
  <c r="D21" i="10"/>
  <c r="D19" i="10" s="1"/>
  <c r="D30" i="10"/>
  <c r="F150" i="7"/>
  <c r="F123" i="7" s="1"/>
  <c r="F122" i="7" s="1"/>
  <c r="F517" i="7"/>
  <c r="F510" i="7" s="1"/>
  <c r="F730" i="7"/>
  <c r="D377" i="9"/>
  <c r="D666" i="9" s="1"/>
  <c r="J403" i="7"/>
  <c r="AD258" i="2"/>
  <c r="AD257" i="2" s="1"/>
  <c r="AD8" i="2" s="1"/>
  <c r="F403" i="7"/>
  <c r="F402" i="7" s="1"/>
  <c r="F395" i="7" s="1"/>
  <c r="D49" i="10"/>
  <c r="D46" i="10" s="1"/>
  <c r="D12" i="10"/>
  <c r="D37" i="10"/>
  <c r="F307" i="7"/>
  <c r="D26" i="10" s="1"/>
  <c r="D23" i="10" s="1"/>
  <c r="D39" i="10"/>
  <c r="F462" i="7"/>
  <c r="F436" i="7" s="1"/>
  <c r="G53" i="9" l="1"/>
  <c r="AF359" i="2"/>
  <c r="AG359" i="2" s="1"/>
  <c r="J716" i="7"/>
  <c r="F415" i="9"/>
  <c r="F414" i="9" s="1"/>
  <c r="F87" i="9"/>
  <c r="G87" i="9" s="1"/>
  <c r="G88" i="9"/>
  <c r="L826" i="7"/>
  <c r="M827" i="7"/>
  <c r="G260" i="9"/>
  <c r="F259" i="9"/>
  <c r="L281" i="7"/>
  <c r="M282" i="7"/>
  <c r="F233" i="9"/>
  <c r="G234" i="9"/>
  <c r="F204" i="9"/>
  <c r="G205" i="9"/>
  <c r="F523" i="9"/>
  <c r="G523" i="9" s="1"/>
  <c r="G524" i="9"/>
  <c r="F534" i="9"/>
  <c r="G535" i="9"/>
  <c r="F409" i="9"/>
  <c r="G409" i="9" s="1"/>
  <c r="G410" i="9"/>
  <c r="F515" i="9"/>
  <c r="G516" i="9"/>
  <c r="F51" i="9"/>
  <c r="G51" i="9" s="1"/>
  <c r="G52" i="9"/>
  <c r="F303" i="9"/>
  <c r="G303" i="9" s="1"/>
  <c r="G304" i="9"/>
  <c r="F102" i="9"/>
  <c r="G110" i="9"/>
  <c r="L352" i="7"/>
  <c r="M353" i="7"/>
  <c r="F17" i="9"/>
  <c r="G18" i="9"/>
  <c r="F575" i="9"/>
  <c r="G587" i="9"/>
  <c r="F198" i="9"/>
  <c r="G198" i="9" s="1"/>
  <c r="G199" i="9"/>
  <c r="F647" i="9"/>
  <c r="G648" i="9"/>
  <c r="G185" i="9"/>
  <c r="F184" i="9"/>
  <c r="M176" i="7"/>
  <c r="L175" i="7"/>
  <c r="M552" i="7"/>
  <c r="L551" i="7"/>
  <c r="M45" i="7"/>
  <c r="L44" i="7"/>
  <c r="F324" i="9"/>
  <c r="G328" i="9"/>
  <c r="L218" i="7"/>
  <c r="M219" i="7"/>
  <c r="F504" i="9"/>
  <c r="G504" i="9" s="1"/>
  <c r="G505" i="9"/>
  <c r="F398" i="9"/>
  <c r="G399" i="9"/>
  <c r="M573" i="7"/>
  <c r="L572" i="7"/>
  <c r="L844" i="7"/>
  <c r="M845" i="7"/>
  <c r="F493" i="9"/>
  <c r="G493" i="9" s="1"/>
  <c r="G494" i="9"/>
  <c r="F294" i="9"/>
  <c r="G294" i="9" s="1"/>
  <c r="G295" i="9"/>
  <c r="J273" i="7"/>
  <c r="K273" i="7" s="1"/>
  <c r="F285" i="9"/>
  <c r="G285" i="9" s="1"/>
  <c r="G286" i="9"/>
  <c r="L731" i="7"/>
  <c r="M732" i="7"/>
  <c r="F545" i="9"/>
  <c r="G546" i="9"/>
  <c r="G550" i="9"/>
  <c r="F549" i="9"/>
  <c r="G479" i="9"/>
  <c r="F478" i="9"/>
  <c r="J123" i="7"/>
  <c r="G674" i="9"/>
  <c r="F667" i="9"/>
  <c r="G667" i="9" s="1"/>
  <c r="F29" i="9"/>
  <c r="G29" i="9" s="1"/>
  <c r="G30" i="9"/>
  <c r="L123" i="7"/>
  <c r="M124" i="7"/>
  <c r="L715" i="7"/>
  <c r="M716" i="7"/>
  <c r="J351" i="7"/>
  <c r="K352" i="7"/>
  <c r="J224" i="7"/>
  <c r="K225" i="7"/>
  <c r="J181" i="7"/>
  <c r="K186" i="7"/>
  <c r="J700" i="7"/>
  <c r="K700" i="7" s="1"/>
  <c r="K701" i="7"/>
  <c r="K733" i="7"/>
  <c r="J732" i="7"/>
  <c r="J71" i="7"/>
  <c r="K71" i="7" s="1"/>
  <c r="K72" i="7"/>
  <c r="J510" i="7"/>
  <c r="K517" i="7"/>
  <c r="J298" i="7"/>
  <c r="K299" i="7"/>
  <c r="J863" i="7"/>
  <c r="K864" i="7"/>
  <c r="J681" i="7"/>
  <c r="K682" i="7"/>
  <c r="K463" i="7"/>
  <c r="J462" i="7"/>
  <c r="K462" i="7" s="1"/>
  <c r="K123" i="7"/>
  <c r="J336" i="7"/>
  <c r="K337" i="7"/>
  <c r="J402" i="7"/>
  <c r="K403" i="7"/>
  <c r="J44" i="7"/>
  <c r="K45" i="7"/>
  <c r="J216" i="7"/>
  <c r="K217" i="7"/>
  <c r="J570" i="7"/>
  <c r="K570" i="7" s="1"/>
  <c r="K571" i="7"/>
  <c r="J12" i="7"/>
  <c r="K13" i="7"/>
  <c r="J715" i="7"/>
  <c r="K716" i="7"/>
  <c r="J853" i="7"/>
  <c r="K854" i="7"/>
  <c r="J52" i="7"/>
  <c r="K52" i="7" s="1"/>
  <c r="K53" i="7"/>
  <c r="J450" i="7"/>
  <c r="K450" i="7" s="1"/>
  <c r="K451" i="7"/>
  <c r="J649" i="7"/>
  <c r="K688" i="7"/>
  <c r="J687" i="7"/>
  <c r="K687" i="7" s="1"/>
  <c r="J174" i="7"/>
  <c r="K174" i="7" s="1"/>
  <c r="K175" i="7"/>
  <c r="J232" i="7"/>
  <c r="K233" i="7"/>
  <c r="J635" i="7"/>
  <c r="K635" i="7" s="1"/>
  <c r="K636" i="7"/>
  <c r="J825" i="7"/>
  <c r="K826" i="7"/>
  <c r="K837" i="7"/>
  <c r="J836" i="7"/>
  <c r="K309" i="7"/>
  <c r="J308" i="7"/>
  <c r="K83" i="7"/>
  <c r="J82" i="7"/>
  <c r="J19" i="7"/>
  <c r="K26" i="7"/>
  <c r="J291" i="7"/>
  <c r="K292" i="7"/>
  <c r="J243" i="7"/>
  <c r="J368" i="7"/>
  <c r="K369" i="7"/>
  <c r="K552" i="7"/>
  <c r="J551" i="7"/>
  <c r="J280" i="7"/>
  <c r="K281" i="7"/>
  <c r="D13" i="10"/>
  <c r="F11" i="7"/>
  <c r="AG297" i="2"/>
  <c r="AF283" i="2"/>
  <c r="AG283" i="2" s="1"/>
  <c r="AF358" i="2"/>
  <c r="AG358" i="2" s="1"/>
  <c r="AF17" i="2"/>
  <c r="AG17" i="2" s="1"/>
  <c r="AF258" i="2"/>
  <c r="AF462" i="2"/>
  <c r="AG462" i="2" s="1"/>
  <c r="AG463" i="2"/>
  <c r="AF452" i="2"/>
  <c r="AG452" i="2" s="1"/>
  <c r="AG453" i="2"/>
  <c r="AG440" i="2"/>
  <c r="AG347" i="2"/>
  <c r="AF346" i="2"/>
  <c r="AG346" i="2" s="1"/>
  <c r="AG345" i="2"/>
  <c r="AG331" i="2"/>
  <c r="AF330" i="2"/>
  <c r="AG330" i="2" s="1"/>
  <c r="AF315" i="2"/>
  <c r="AG316" i="2"/>
  <c r="AF257" i="2"/>
  <c r="AG257" i="2" s="1"/>
  <c r="AG258" i="2"/>
  <c r="AF226" i="2"/>
  <c r="AG226" i="2" s="1"/>
  <c r="AG227" i="2"/>
  <c r="AG220" i="2"/>
  <c r="AF219" i="2"/>
  <c r="AG219" i="2" s="1"/>
  <c r="AF202" i="2"/>
  <c r="AG203" i="2"/>
  <c r="AF163" i="2"/>
  <c r="AG163" i="2" s="1"/>
  <c r="AG164" i="2"/>
  <c r="AF152" i="2"/>
  <c r="AG153" i="2"/>
  <c r="AF144" i="2"/>
  <c r="AG144" i="2" s="1"/>
  <c r="AG145" i="2"/>
  <c r="AF136" i="2"/>
  <c r="AG136" i="2" s="1"/>
  <c r="AG137" i="2"/>
  <c r="AF104" i="2"/>
  <c r="AG104" i="2" s="1"/>
  <c r="AG105" i="2"/>
  <c r="AG61" i="2"/>
  <c r="G892" i="7"/>
  <c r="F394" i="7"/>
  <c r="AD1049" i="2"/>
  <c r="D32" i="10"/>
  <c r="D33" i="10"/>
  <c r="F230" i="7"/>
  <c r="D43" i="10"/>
  <c r="D42" i="10" s="1"/>
  <c r="F548" i="7"/>
  <c r="D729" i="9"/>
  <c r="D53" i="10"/>
  <c r="D52" i="10" s="1"/>
  <c r="F279" i="7"/>
  <c r="D38" i="10"/>
  <c r="D36" i="10" s="1"/>
  <c r="G415" i="9" l="1"/>
  <c r="F38" i="10"/>
  <c r="G38" i="10" s="1"/>
  <c r="J272" i="7"/>
  <c r="G549" i="9"/>
  <c r="G324" i="9"/>
  <c r="F323" i="9"/>
  <c r="G414" i="9"/>
  <c r="G204" i="9"/>
  <c r="F203" i="9"/>
  <c r="L43" i="7"/>
  <c r="M43" i="7" s="1"/>
  <c r="M44" i="7"/>
  <c r="M844" i="7"/>
  <c r="L835" i="7"/>
  <c r="F232" i="9"/>
  <c r="G232" i="9" s="1"/>
  <c r="G233" i="9"/>
  <c r="F540" i="9"/>
  <c r="G540" i="9" s="1"/>
  <c r="G545" i="9"/>
  <c r="L571" i="7"/>
  <c r="M572" i="7"/>
  <c r="L550" i="7"/>
  <c r="M551" i="7"/>
  <c r="F574" i="9"/>
  <c r="G574" i="9" s="1"/>
  <c r="G575" i="9"/>
  <c r="F514" i="9"/>
  <c r="G514" i="9" s="1"/>
  <c r="G515" i="9"/>
  <c r="L280" i="7"/>
  <c r="M281" i="7"/>
  <c r="L730" i="7"/>
  <c r="M730" i="7" s="1"/>
  <c r="M731" i="7"/>
  <c r="L174" i="7"/>
  <c r="M174" i="7" s="1"/>
  <c r="M175" i="7"/>
  <c r="G259" i="9"/>
  <c r="F258" i="9"/>
  <c r="G258" i="9" s="1"/>
  <c r="G398" i="9"/>
  <c r="F378" i="9"/>
  <c r="G378" i="9" s="1"/>
  <c r="G17" i="9"/>
  <c r="F16" i="9"/>
  <c r="G16" i="9" s="1"/>
  <c r="F183" i="9"/>
  <c r="G183" i="9" s="1"/>
  <c r="G184" i="9"/>
  <c r="L351" i="7"/>
  <c r="M352" i="7"/>
  <c r="G534" i="9"/>
  <c r="L825" i="7"/>
  <c r="M825" i="7" s="1"/>
  <c r="M826" i="7"/>
  <c r="G478" i="9"/>
  <c r="F477" i="9"/>
  <c r="G477" i="9" s="1"/>
  <c r="L217" i="7"/>
  <c r="M218" i="7"/>
  <c r="F646" i="9"/>
  <c r="G646" i="9" s="1"/>
  <c r="G647" i="9"/>
  <c r="G102" i="9"/>
  <c r="F101" i="9"/>
  <c r="M123" i="7"/>
  <c r="L122" i="7"/>
  <c r="L699" i="7"/>
  <c r="M715" i="7"/>
  <c r="K551" i="7"/>
  <c r="J550" i="7"/>
  <c r="J835" i="7"/>
  <c r="K835" i="7" s="1"/>
  <c r="K836" i="7"/>
  <c r="J634" i="7"/>
  <c r="K649" i="7"/>
  <c r="K12" i="7"/>
  <c r="F10" i="10"/>
  <c r="G10" i="10" s="1"/>
  <c r="J731" i="7"/>
  <c r="K732" i="7"/>
  <c r="J242" i="7"/>
  <c r="K243" i="7"/>
  <c r="K825" i="7"/>
  <c r="K216" i="7"/>
  <c r="F17" i="10"/>
  <c r="G17" i="10" s="1"/>
  <c r="K681" i="7"/>
  <c r="J680" i="7"/>
  <c r="J290" i="7"/>
  <c r="K290" i="7" s="1"/>
  <c r="K291" i="7"/>
  <c r="J852" i="7"/>
  <c r="K853" i="7"/>
  <c r="K44" i="7"/>
  <c r="J43" i="7"/>
  <c r="J862" i="7"/>
  <c r="K862" i="7" s="1"/>
  <c r="K863" i="7"/>
  <c r="F53" i="10"/>
  <c r="J180" i="7"/>
  <c r="K181" i="7"/>
  <c r="K19" i="7"/>
  <c r="F11" i="10"/>
  <c r="G11" i="10" s="1"/>
  <c r="K232" i="7"/>
  <c r="J231" i="7"/>
  <c r="J395" i="7"/>
  <c r="K395" i="7" s="1"/>
  <c r="K402" i="7"/>
  <c r="J297" i="7"/>
  <c r="K298" i="7"/>
  <c r="J223" i="7"/>
  <c r="J215" i="7" s="1"/>
  <c r="K215" i="7" s="1"/>
  <c r="K224" i="7"/>
  <c r="K368" i="7"/>
  <c r="J367" i="7"/>
  <c r="K367" i="7" s="1"/>
  <c r="K82" i="7"/>
  <c r="J81" i="7"/>
  <c r="F24" i="10"/>
  <c r="G24" i="10" s="1"/>
  <c r="K280" i="7"/>
  <c r="K308" i="7"/>
  <c r="J307" i="7"/>
  <c r="J699" i="7"/>
  <c r="K715" i="7"/>
  <c r="J335" i="7"/>
  <c r="K336" i="7"/>
  <c r="K510" i="7"/>
  <c r="F33" i="10"/>
  <c r="G33" i="10" s="1"/>
  <c r="J350" i="7"/>
  <c r="K351" i="7"/>
  <c r="AF439" i="2"/>
  <c r="AG439" i="2" s="1"/>
  <c r="AF60" i="2"/>
  <c r="AG315" i="2"/>
  <c r="AF314" i="2"/>
  <c r="AG314" i="2" s="1"/>
  <c r="AG202" i="2"/>
  <c r="AF201" i="2"/>
  <c r="AG152" i="2"/>
  <c r="AF151" i="2"/>
  <c r="AG151" i="2" s="1"/>
  <c r="D15" i="10"/>
  <c r="D9" i="10" s="1"/>
  <c r="F627" i="9"/>
  <c r="K272" i="7" l="1"/>
  <c r="F22" i="10"/>
  <c r="G22" i="10" s="1"/>
  <c r="F30" i="10"/>
  <c r="G30" i="10" s="1"/>
  <c r="L824" i="7"/>
  <c r="M835" i="7"/>
  <c r="L216" i="7"/>
  <c r="M217" i="7"/>
  <c r="F197" i="9"/>
  <c r="G197" i="9" s="1"/>
  <c r="G203" i="9"/>
  <c r="F52" i="10"/>
  <c r="G52" i="10" s="1"/>
  <c r="G53" i="10"/>
  <c r="L549" i="7"/>
  <c r="M549" i="7" s="1"/>
  <c r="M550" i="7"/>
  <c r="F513" i="9"/>
  <c r="G513" i="9" s="1"/>
  <c r="L570" i="7"/>
  <c r="M570" i="7" s="1"/>
  <c r="M571" i="7"/>
  <c r="F377" i="9"/>
  <c r="G377" i="9" s="1"/>
  <c r="F100" i="9"/>
  <c r="G100" i="9" s="1"/>
  <c r="G101" i="9"/>
  <c r="F322" i="9"/>
  <c r="G322" i="9" s="1"/>
  <c r="G323" i="9"/>
  <c r="L350" i="7"/>
  <c r="M350" i="7" s="1"/>
  <c r="M351" i="7"/>
  <c r="F539" i="9"/>
  <c r="G539" i="9" s="1"/>
  <c r="F626" i="9"/>
  <c r="G627" i="9"/>
  <c r="M280" i="7"/>
  <c r="M122" i="7"/>
  <c r="L11" i="7"/>
  <c r="M11" i="7" s="1"/>
  <c r="M699" i="7"/>
  <c r="K242" i="7"/>
  <c r="F21" i="10"/>
  <c r="G21" i="10" s="1"/>
  <c r="F50" i="10"/>
  <c r="G50" i="10" s="1"/>
  <c r="K852" i="7"/>
  <c r="F43" i="10"/>
  <c r="K731" i="7"/>
  <c r="J730" i="7"/>
  <c r="K730" i="7" s="1"/>
  <c r="K350" i="7"/>
  <c r="F28" i="10"/>
  <c r="G28" i="10" s="1"/>
  <c r="F13" i="10"/>
  <c r="G13" i="10" s="1"/>
  <c r="K81" i="7"/>
  <c r="F40" i="10"/>
  <c r="G40" i="10" s="1"/>
  <c r="K680" i="7"/>
  <c r="K180" i="7"/>
  <c r="J122" i="7"/>
  <c r="K634" i="7"/>
  <c r="F39" i="10"/>
  <c r="G39" i="10" s="1"/>
  <c r="F20" i="10"/>
  <c r="K231" i="7"/>
  <c r="J230" i="7"/>
  <c r="K230" i="7" s="1"/>
  <c r="J394" i="7"/>
  <c r="K394" i="7" s="1"/>
  <c r="F18" i="10"/>
  <c r="K223" i="7"/>
  <c r="K699" i="7"/>
  <c r="F41" i="10"/>
  <c r="G41" i="10" s="1"/>
  <c r="J824" i="7"/>
  <c r="J549" i="7"/>
  <c r="K550" i="7"/>
  <c r="F27" i="10"/>
  <c r="G27" i="10" s="1"/>
  <c r="K335" i="7"/>
  <c r="K307" i="7"/>
  <c r="F26" i="10"/>
  <c r="G26" i="10" s="1"/>
  <c r="J289" i="7"/>
  <c r="K297" i="7"/>
  <c r="F12" i="10"/>
  <c r="G12" i="10" s="1"/>
  <c r="K43" i="7"/>
  <c r="AG60" i="2"/>
  <c r="AF9" i="2"/>
  <c r="AG9" i="2" s="1"/>
  <c r="AG201" i="2"/>
  <c r="AF200" i="2"/>
  <c r="AG200" i="2" s="1"/>
  <c r="F393" i="7"/>
  <c r="F392" i="7" s="1"/>
  <c r="AF925" i="2"/>
  <c r="AF918" i="2" s="1"/>
  <c r="J436" i="7"/>
  <c r="K436" i="7" s="1"/>
  <c r="L279" i="7" l="1"/>
  <c r="M279" i="7" s="1"/>
  <c r="F42" i="10"/>
  <c r="G42" i="10" s="1"/>
  <c r="G43" i="10"/>
  <c r="F19" i="10"/>
  <c r="G19" i="10" s="1"/>
  <c r="G20" i="10"/>
  <c r="L548" i="7"/>
  <c r="M548" i="7" s="1"/>
  <c r="F595" i="9"/>
  <c r="G626" i="9"/>
  <c r="L215" i="7"/>
  <c r="M215" i="7" s="1"/>
  <c r="M216" i="7"/>
  <c r="F16" i="10"/>
  <c r="G16" i="10" s="1"/>
  <c r="G18" i="10"/>
  <c r="L811" i="7"/>
  <c r="M811" i="7" s="1"/>
  <c r="M824" i="7"/>
  <c r="J811" i="7"/>
  <c r="K811" i="7" s="1"/>
  <c r="K824" i="7"/>
  <c r="F49" i="10"/>
  <c r="K289" i="7"/>
  <c r="F25" i="10"/>
  <c r="J279" i="7"/>
  <c r="K279" i="7" s="1"/>
  <c r="J393" i="7"/>
  <c r="K549" i="7"/>
  <c r="F37" i="10"/>
  <c r="J548" i="7"/>
  <c r="K548" i="7" s="1"/>
  <c r="J11" i="7"/>
  <c r="K11" i="7" s="1"/>
  <c r="K122" i="7"/>
  <c r="F15" i="10"/>
  <c r="AG944" i="2"/>
  <c r="AF8" i="2"/>
  <c r="AG8" i="2" s="1"/>
  <c r="F366" i="7"/>
  <c r="F892" i="7" s="1"/>
  <c r="D31" i="10"/>
  <c r="D29" i="10" s="1"/>
  <c r="D57" i="10" s="1"/>
  <c r="F32" i="10"/>
  <c r="G32" i="10" s="1"/>
  <c r="F594" i="9" l="1"/>
  <c r="G595" i="9"/>
  <c r="F9" i="10"/>
  <c r="G9" i="10" s="1"/>
  <c r="G15" i="10"/>
  <c r="F23" i="10"/>
  <c r="G23" i="10" s="1"/>
  <c r="G25" i="10"/>
  <c r="F46" i="10"/>
  <c r="G46" i="10" s="1"/>
  <c r="G49" i="10"/>
  <c r="F36" i="10"/>
  <c r="G36" i="10" s="1"/>
  <c r="G37" i="10"/>
  <c r="L892" i="7"/>
  <c r="M892" i="7" s="1"/>
  <c r="J392" i="7"/>
  <c r="K393" i="7"/>
  <c r="AG925" i="2"/>
  <c r="G594" i="9" l="1"/>
  <c r="F573" i="9"/>
  <c r="K392" i="7"/>
  <c r="J366" i="7"/>
  <c r="F31" i="10"/>
  <c r="AF871" i="2"/>
  <c r="AG918" i="2"/>
  <c r="F666" i="9" l="1"/>
  <c r="G573" i="9"/>
  <c r="F29" i="10"/>
  <c r="G31" i="10"/>
  <c r="J892" i="7"/>
  <c r="K892" i="7" s="1"/>
  <c r="K366" i="7"/>
  <c r="AF821" i="2"/>
  <c r="AG871" i="2"/>
  <c r="F57" i="10" l="1"/>
  <c r="G57" i="10" s="1"/>
  <c r="G29" i="10"/>
  <c r="G666" i="9"/>
  <c r="F729" i="9"/>
  <c r="G729" i="9" s="1"/>
  <c r="AG821" i="2"/>
  <c r="AF1049" i="2"/>
  <c r="AG1049" i="2" s="1"/>
</calcChain>
</file>

<file path=xl/sharedStrings.xml><?xml version="1.0" encoding="utf-8"?>
<sst xmlns="http://schemas.openxmlformats.org/spreadsheetml/2006/main" count="9766" uniqueCount="844">
  <si>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</si>
  <si>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</si>
  <si>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</si>
  <si>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</si>
  <si>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</si>
  <si>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</si>
  <si>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</si>
  <si>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</si>
  <si>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</si>
  <si>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</si>
  <si>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</si>
  <si>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</si>
  <si>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</si>
  <si>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</si>
  <si>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</si>
  <si>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</si>
  <si>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</si>
  <si>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</si>
  <si>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</si>
  <si>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</si>
  <si>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</si>
  <si>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</si>
  <si>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</si>
  <si>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</si>
  <si>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</si>
  <si>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</si>
  <si>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</si>
  <si>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</si>
  <si>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</si>
  <si>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</si>
  <si>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</si>
  <si>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</si>
  <si>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</si>
  <si>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</si>
  <si>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</si>
  <si>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</si>
  <si>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</si>
  <si>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</si>
  <si>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</si>
  <si>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</si>
  <si>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</si>
  <si>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</si>
  <si>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</si>
  <si>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</si>
  <si>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</si>
  <si>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</si>
  <si>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</si>
  <si>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</si>
  <si>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</si>
  <si>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</si>
  <si>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</si>
  <si>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</si>
  <si>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</si>
  <si>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</si>
  <si>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</si>
  <si>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</si>
  <si>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</si>
  <si>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</si>
  <si>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</si>
  <si>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</si>
  <si>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</si>
  <si>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</si>
  <si>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</si>
  <si>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</si>
  <si>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</si>
  <si>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</si>
  <si>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</si>
  <si>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</si>
  <si>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</si>
  <si>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</si>
  <si>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</si>
  <si>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</si>
  <si>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</si>
  <si>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</si>
  <si>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</si>
  <si>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</si>
  <si>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</si>
  <si>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</si>
  <si>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</si>
  <si>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</si>
  <si>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</si>
  <si>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</si>
  <si>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</si>
  <si>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</si>
  <si>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</si>
  <si>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</si>
  <si>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</si>
  <si>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</si>
  <si>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</si>
  <si>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</si>
  <si>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</si>
  <si>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</si>
  <si>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</si>
  <si>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</si>
  <si>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</si>
  <si>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</si>
  <si>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</si>
  <si>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</si>
  <si>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</si>
  <si>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</si>
  <si>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</si>
  <si>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</si>
  <si>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</si>
  <si>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</si>
  <si>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</si>
  <si>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</si>
  <si>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</si>
  <si>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</si>
  <si>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</si>
  <si>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</si>
  <si>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</si>
  <si>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</si>
  <si>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</si>
  <si>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</si>
  <si>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</si>
  <si>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</si>
  <si>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</si>
  <si>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</si>
  <si>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</si>
  <si>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</si>
  <si>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</si>
  <si>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</si>
  <si>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</si>
  <si>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</si>
  <si>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</si>
  <si>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</si>
  <si>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</si>
  <si>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</si>
  <si>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</si>
  <si>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</si>
  <si>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</si>
  <si>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</si>
  <si>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</si>
  <si>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</si>
  <si>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</si>
  <si>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</si>
  <si>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</si>
  <si>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</si>
  <si>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</si>
  <si>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</si>
  <si>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</si>
  <si>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</si>
  <si>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</si>
  <si>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</si>
  <si>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</si>
  <si>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</si>
  <si>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</si>
  <si>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</si>
  <si>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</si>
  <si>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</si>
  <si>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</si>
  <si>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</si>
  <si>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</si>
  <si>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</si>
  <si>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</si>
  <si>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</si>
  <si>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</si>
  <si>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</si>
  <si>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</si>
  <si>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</si>
  <si>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</si>
  <si>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</si>
  <si>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</si>
  <si>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</si>
  <si>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</si>
  <si>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</si>
  <si>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</si>
  <si>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</si>
  <si>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</si>
  <si>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</si>
  <si>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</si>
  <si>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</si>
  <si>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</si>
  <si>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</si>
  <si>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</si>
  <si>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</si>
  <si>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</si>
  <si>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</si>
  <si>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</si>
  <si>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</si>
  <si>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</si>
  <si>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</si>
  <si>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</si>
  <si>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</si>
  <si>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</si>
  <si>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</si>
  <si>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</si>
  <si>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</si>
  <si>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</si>
  <si>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</si>
  <si>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</si>
  <si>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</si>
  <si>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</si>
  <si>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</si>
  <si>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</si>
  <si>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</si>
  <si>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</si>
  <si>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</si>
  <si>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</si>
  <si>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</si>
  <si>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</si>
  <si>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</si>
  <si>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</si>
  <si>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</si>
  <si>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</si>
  <si>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</si>
  <si>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</si>
  <si>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</si>
  <si>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</si>
  <si>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</si>
  <si>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</si>
  <si>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</si>
  <si>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</si>
  <si>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</si>
  <si>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</si>
  <si>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</si>
  <si>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</si>
  <si>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</si>
  <si>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</si>
  <si>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</si>
  <si>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</si>
  <si>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</si>
  <si>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</si>
  <si>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</si>
  <si>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</si>
  <si>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</si>
  <si>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</si>
  <si>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</si>
  <si>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</si>
  <si>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</si>
  <si>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</si>
  <si>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</si>
  <si>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</si>
  <si>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</si>
  <si>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</si>
  <si>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</si>
  <si>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</si>
  <si>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</si>
  <si>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</si>
  <si>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</si>
  <si>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</si>
  <si>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</si>
  <si>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</si>
  <si>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</si>
  <si>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</si>
  <si>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</si>
  <si>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</si>
  <si>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</si>
  <si>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</si>
  <si>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</si>
  <si>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</si>
  <si>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</si>
  <si>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</si>
  <si>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</si>
  <si>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</si>
  <si>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</si>
  <si>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</si>
  <si>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</si>
  <si>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</si>
  <si>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</si>
  <si>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</si>
  <si>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</si>
  <si>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</si>
  <si>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</si>
  <si>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</si>
  <si>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</si>
  <si>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</si>
  <si>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</si>
  <si>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</si>
  <si>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</si>
  <si>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</si>
  <si>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</si>
  <si>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</si>
  <si>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</si>
  <si>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</si>
  <si>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</si>
  <si>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</si>
  <si>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</si>
  <si>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</si>
  <si>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</si>
  <si>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</si>
  <si>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</si>
  <si>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</si>
  <si>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</si>
  <si>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</si>
  <si>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</si>
  <si>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</si>
  <si>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</si>
  <si>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</si>
  <si>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</si>
  <si>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</si>
  <si>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</si>
  <si>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</si>
  <si>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</si>
  <si>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</si>
  <si>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</si>
  <si>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</si>
  <si>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</si>
  <si>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</si>
  <si>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</si>
  <si>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</si>
  <si>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</si>
  <si>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</si>
  <si>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</si>
  <si>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</si>
  <si>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</si>
  <si>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</si>
  <si>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</si>
  <si>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</si>
  <si>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</si>
  <si>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</si>
  <si>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</si>
  <si>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</si>
  <si>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</si>
  <si>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</si>
  <si>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</si>
  <si>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</si>
  <si>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</si>
  <si>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</si>
  <si>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</si>
  <si>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</si>
  <si>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</si>
  <si>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</si>
  <si>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</si>
  <si>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</si>
  <si>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</si>
  <si>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</si>
  <si>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</si>
  <si>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</si>
  <si>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</si>
  <si>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</si>
  <si>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</si>
  <si>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</si>
  <si>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</si>
  <si>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</si>
  <si>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</si>
  <si>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</si>
  <si>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</si>
  <si>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</si>
  <si>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</si>
  <si>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</si>
  <si>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</si>
  <si>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</si>
  <si>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</si>
  <si>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</si>
  <si>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</si>
  <si>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</si>
  <si>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</si>
  <si>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</si>
  <si>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</si>
  <si>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</si>
  <si>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</si>
  <si>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</si>
  <si>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</si>
  <si>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</si>
  <si>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</si>
  <si>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</si>
  <si>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</si>
  <si>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</si>
  <si>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</si>
  <si>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</si>
  <si>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</si>
  <si>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</si>
  <si>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</si>
  <si>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</si>
  <si>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</si>
  <si>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</si>
  <si>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</si>
  <si>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</si>
  <si>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</si>
  <si>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</si>
  <si>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</si>
  <si>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</si>
  <si>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</si>
  <si>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</si>
  <si>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</si>
  <si>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</si>
  <si>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</si>
  <si>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</si>
  <si>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</si>
  <si>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</si>
  <si>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</si>
  <si>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</si>
  <si>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</si>
  <si>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</si>
  <si>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</si>
  <si>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</si>
  <si>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</si>
  <si>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</si>
  <si>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</si>
  <si>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</si>
  <si>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</si>
  <si>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</si>
  <si>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</si>
  <si>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</si>
  <si>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</si>
  <si>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</si>
  <si>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</si>
  <si>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</si>
  <si>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</si>
  <si>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</si>
  <si>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</si>
  <si>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</si>
  <si>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</si>
  <si>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</si>
  <si>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</si>
  <si>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</si>
  <si>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</si>
  <si>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</si>
  <si>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</si>
  <si>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</si>
  <si>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</si>
  <si>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</si>
  <si>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</si>
  <si>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</si>
  <si>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</si>
  <si>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</si>
  <si>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</si>
  <si>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</si>
  <si>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</si>
  <si>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</si>
  <si>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</si>
  <si>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</si>
  <si>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</si>
  <si>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</si>
  <si>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</si>
  <si>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</si>
  <si>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</si>
  <si>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</si>
  <si>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</si>
  <si>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</si>
  <si>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</si>
  <si>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</si>
  <si>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</si>
  <si>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</si>
  <si>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</si>
  <si>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</si>
  <si>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</si>
  <si>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</si>
  <si>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</si>
  <si>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</si>
  <si>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</si>
  <si>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</si>
  <si>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</si>
  <si>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</si>
  <si>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</si>
  <si>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</si>
  <si>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</si>
  <si>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</si>
  <si>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</si>
  <si>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</si>
  <si>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</si>
  <si>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</si>
  <si>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</si>
  <si>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</si>
  <si>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</si>
  <si>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</si>
  <si>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</si>
  <si>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</si>
  <si>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</si>
  <si>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</si>
  <si>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</si>
  <si>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</si>
  <si>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</si>
  <si>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</si>
  <si>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</si>
  <si>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</si>
  <si>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</si>
  <si>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</si>
  <si>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</si>
  <si>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</si>
  <si>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</si>
  <si>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</si>
  <si>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</si>
  <si>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</si>
  <si>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</si>
  <si>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</si>
  <si>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</si>
  <si>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</si>
  <si>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</si>
  <si>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</si>
  <si>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</si>
  <si>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</si>
  <si>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</si>
  <si>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</si>
  <si>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</si>
  <si>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</si>
  <si>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</si>
  <si>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</si>
  <si>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</si>
  <si>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</si>
  <si>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</si>
  <si>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</si>
  <si>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</si>
  <si>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</si>
  <si>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</si>
  <si>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</si>
  <si>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</si>
  <si>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</si>
  <si>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</si>
  <si>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</si>
  <si>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</si>
  <si>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</si>
  <si>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</si>
  <si>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</si>
  <si>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</si>
  <si>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</si>
  <si>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</si>
  <si>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</si>
  <si>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</si>
  <si>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</si>
  <si>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</si>
  <si>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</si>
  <si>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</si>
  <si>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</si>
  <si>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</si>
  <si>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</si>
  <si>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</si>
  <si>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</si>
  <si>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</si>
  <si>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</si>
  <si>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</si>
  <si>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</si>
  <si>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</si>
  <si>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</si>
  <si>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</si>
  <si>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</si>
  <si>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</si>
  <si>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</si>
  <si>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</si>
  <si>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</si>
  <si>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</si>
  <si>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</si>
  <si>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</si>
  <si>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</si>
  <si>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</si>
  <si>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</si>
  <si>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</si>
  <si>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</si>
  <si>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</si>
  <si>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</si>
  <si>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</si>
  <si>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</si>
  <si>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</si>
  <si>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</si>
  <si>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</si>
  <si>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</si>
  <si>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</si>
  <si>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</si>
  <si>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</si>
  <si>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</si>
  <si>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</si>
  <si>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</si>
  <si>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</si>
  <si>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</si>
  <si>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</si>
  <si>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</si>
  <si>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</si>
  <si>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</si>
  <si>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</si>
  <si>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</si>
  <si>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</si>
  <si>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</si>
  <si>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</si>
  <si>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</si>
  <si>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</si>
  <si>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</si>
  <si>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</si>
  <si>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</si>
  <si>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</si>
  <si>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</si>
  <si>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</si>
  <si>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</si>
  <si>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</si>
  <si>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</si>
  <si>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</si>
  <si>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</si>
  <si>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</si>
  <si>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</si>
  <si>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</si>
  <si>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</si>
  <si>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</si>
  <si>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</si>
  <si>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</si>
  <si>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</si>
  <si>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</si>
  <si>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</si>
  <si>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</si>
  <si>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</si>
  <si>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</si>
  <si>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</si>
  <si>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</si>
  <si>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</si>
  <si>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</si>
  <si>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</si>
  <si>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</si>
  <si>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</si>
  <si>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</si>
  <si>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</si>
  <si>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</si>
  <si>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</si>
  <si>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</si>
  <si>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</si>
  <si>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</si>
  <si>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</si>
  <si>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</si>
  <si>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</si>
  <si>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</si>
  <si>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</si>
  <si>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</si>
  <si>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</si>
  <si>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</si>
  <si>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</si>
  <si>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</si>
  <si>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</si>
  <si>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</si>
  <si>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</si>
  <si>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</si>
  <si>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</si>
  <si>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</si>
  <si>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</si>
  <si>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</si>
  <si>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</si>
  <si>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</si>
  <si>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</si>
  <si>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</si>
  <si>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</si>
  <si>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</si>
  <si>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</si>
  <si>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</si>
  <si>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</si>
  <si>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</si>
  <si>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</si>
  <si>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</si>
  <si>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</si>
  <si>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</si>
  <si>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</si>
  <si>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</si>
  <si>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</si>
  <si>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</si>
  <si>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</si>
  <si>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</si>
  <si>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Оказание  поддержки социально ориентированным некоммерческим организациям</t>
  </si>
  <si>
    <t>04 6 01 00760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</si>
  <si>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</si>
  <si>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</si>
  <si>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</si>
  <si>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</si>
  <si>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</si>
  <si>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</si>
  <si>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</si>
  <si>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</si>
  <si>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</si>
  <si>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</si>
  <si>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</si>
  <si>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</si>
  <si>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</si>
  <si>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</si>
  <si>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</si>
  <si>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тыс.руб.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</si>
  <si>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</si>
  <si>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</si>
  <si>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</si>
  <si>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</si>
  <si>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</si>
  <si>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</si>
  <si>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</si>
  <si>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</si>
  <si>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</si>
  <si>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</si>
  <si>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</si>
  <si>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</si>
  <si>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</si>
  <si>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</si>
  <si>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</si>
  <si>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17 2 F2 82740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</si>
  <si>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</si>
  <si>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</si>
  <si>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</si>
  <si>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</si>
  <si>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</si>
  <si>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</si>
  <si>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</si>
  <si>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</si>
  <si>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</si>
  <si>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</si>
  <si>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</si>
  <si>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</si>
  <si>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</si>
  <si>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</si>
  <si>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</si>
  <si>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</si>
  <si>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</si>
  <si>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</si>
  <si>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</si>
  <si>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</si>
  <si>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</si>
  <si>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</si>
  <si>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</si>
  <si>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</si>
  <si>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</si>
  <si>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</si>
  <si>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</si>
  <si>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</si>
  <si>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</si>
  <si>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</si>
  <si>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</si>
  <si>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</si>
  <si>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</si>
  <si>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</si>
  <si>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</si>
  <si>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</si>
  <si>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</si>
  <si>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</si>
  <si>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</si>
  <si>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</si>
  <si>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</si>
  <si>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</si>
  <si>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</si>
  <si>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</si>
  <si>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</si>
  <si>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</si>
  <si>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</si>
  <si>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</si>
  <si>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</si>
  <si>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</si>
  <si>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</si>
  <si>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</si>
  <si>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</si>
  <si>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</si>
  <si>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</si>
  <si>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</si>
  <si>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</si>
  <si>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</si>
  <si>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</si>
  <si>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</si>
  <si>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</si>
  <si>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</si>
  <si>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</si>
  <si>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</si>
  <si>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</si>
  <si>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</si>
  <si>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</si>
  <si>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</si>
  <si>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</si>
  <si>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</si>
  <si>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</si>
  <si>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</si>
  <si>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</si>
  <si>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</si>
  <si>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</si>
  <si>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</si>
  <si>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</si>
  <si>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</si>
  <si>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</si>
  <si>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</si>
  <si>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</si>
  <si>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</si>
  <si>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</si>
  <si>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</si>
  <si>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</si>
  <si>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</si>
  <si>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</si>
  <si>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</si>
  <si>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</si>
  <si>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</si>
  <si>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</si>
  <si>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</si>
  <si>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</si>
  <si>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</si>
  <si>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</si>
  <si>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</si>
  <si>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</si>
  <si>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</si>
  <si>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</si>
  <si>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</si>
  <si>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</si>
  <si>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</si>
  <si>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</si>
  <si>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</si>
  <si>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</si>
  <si>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</si>
  <si>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</si>
  <si>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</si>
  <si>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</si>
  <si>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</si>
  <si>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</si>
  <si>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</si>
  <si>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</si>
  <si>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</si>
  <si>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</si>
  <si>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</si>
  <si>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</si>
  <si>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</si>
  <si>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>Выполнение работ по обеспечению пожарной безопасности</t>
  </si>
  <si>
    <t>02 2 03 01590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</si>
  <si>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</si>
  <si>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</si>
  <si>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</si>
  <si>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</si>
  <si>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</si>
  <si>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</si>
  <si>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</si>
  <si>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</si>
  <si>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</si>
  <si>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</si>
  <si>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</si>
  <si>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</si>
  <si>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</si>
  <si>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</si>
  <si>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</si>
  <si>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</si>
  <si>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</si>
  <si>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</si>
  <si>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</si>
  <si>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</si>
  <si>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</si>
  <si>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</si>
  <si>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</si>
  <si>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</si>
  <si>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</si>
  <si>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Ведомственная  структура расходов  бюджета  городского округа  Лыткарино на  2024  год и на плановый период 2025 и 2026 годов</t>
  </si>
  <si>
    <t>Утвержденный бюджет</t>
  </si>
  <si>
    <t>Уточненный бюджет</t>
  </si>
  <si>
    <t>Исполнено</t>
  </si>
  <si>
    <t>Реализация мероприятий по капитальному ремонту объектов теплоснабжения за счет средств местного бюджета</t>
  </si>
  <si>
    <t>10 3 01 73310</t>
  </si>
  <si>
    <t>Реализация мероприятий по капитальному ремонту сетей теплоснабжения на территории муниципальных образований за счет средств местного бюджета</t>
  </si>
  <si>
    <t>10 3 02 02300</t>
  </si>
  <si>
    <t>Иные расходы (Премия Губернатора Московской области "Прорыв года")</t>
  </si>
  <si>
    <t>99 0 00 04007</t>
  </si>
  <si>
    <t>% исполнения</t>
  </si>
  <si>
    <t>Утвержден-ный план</t>
  </si>
  <si>
    <t>Уточненный план</t>
  </si>
  <si>
    <t>Исполнение</t>
  </si>
  <si>
    <t>% испол-нения</t>
  </si>
  <si>
    <t>Утвержденный план</t>
  </si>
  <si>
    <t>(тыс.руб)</t>
  </si>
  <si>
    <t>Приложение 2
к Решению Совета депутатов
городского округа Лыткарино от 
"Об исполнении бюджета городского округа Лыткарино за 2024 год"</t>
  </si>
  <si>
    <t>Приложение 3
к Решению Совета депутатов
городского округа Лыткарино от 
"Об исполнении бюджета городского округа Лыткарино за 2024 год"</t>
  </si>
  <si>
    <t>Приложение 3 
к Решению Совета депутатов
городского округа Лыткарино от 
"Об исполнении бюджета городского округа Лыткарино за 2024 год"</t>
  </si>
  <si>
    <t>Расходы  бюджета  городского округа  Лыткарино за 2024 год по  разделам и подразделам  
классификации  расходов  бюджета  городского округа Лыткарино</t>
  </si>
  <si>
    <t>Приложение 6</t>
  </si>
  <si>
    <t>к Решению Совета депутатов
городского округа Лыткарино
"Об исполнении бюджета городского округа Лыткарино Московской области 
за 2024 год" 
от 23.04.2025 № 586/68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</si>
</sst>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8"/>
      <name val="Times New Roman Cyr"/>
      <family val="1"/>
      <charset val="204"/>
    </font>
    <font>
      <sz val="1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4" fillId="0" borderId="0"/>
  </cellStyleXfs>
  <cellXfs count="651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 wrapText="1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/>
    <xf numFmtId="0" fontId="11" fillId="3" borderId="0" xfId="0" applyFont="1" applyFill="1"/>
    <xf numFmtId="0" fontId="0" fillId="3" borderId="0" xfId="0" applyFill="1"/>
    <xf numFmtId="0" fontId="23" fillId="3" borderId="0" xfId="0" applyFont="1" applyFill="1"/>
    <xf numFmtId="0" fontId="4" fillId="3" borderId="0" xfId="0" applyFont="1" applyFill="1" applyAlignment="1">
      <alignment horizontal="centerContinuous"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 wrapText="1"/>
    </xf>
    <xf numFmtId="0" fontId="21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164" fontId="11" fillId="3" borderId="0" xfId="0" applyNumberFormat="1" applyFont="1" applyFill="1" applyAlignment="1">
      <alignment horizontal="center" vertical="center"/>
    </xf>
    <xf numFmtId="165" fontId="22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164" fontId="16" fillId="3" borderId="0" xfId="0" applyNumberFormat="1" applyFont="1" applyFill="1" applyAlignment="1">
      <alignment horizontal="center"/>
    </xf>
    <xf numFmtId="1" fontId="16" fillId="3" borderId="0" xfId="0" applyNumberFormat="1" applyFont="1" applyFill="1" applyAlignment="1">
      <alignment horizontal="center"/>
    </xf>
    <xf numFmtId="1" fontId="19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right"/>
    </xf>
    <xf numFmtId="0" fontId="4" fillId="3" borderId="0" xfId="0" applyFont="1" applyFill="1" applyAlignment="1">
      <alignment wrapText="1"/>
    </xf>
    <xf numFmtId="0" fontId="17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 wrapText="1"/>
    </xf>
    <xf numFmtId="0" fontId="4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164" fontId="12" fillId="3" borderId="0" xfId="0" applyNumberFormat="1" applyFont="1" applyFill="1"/>
    <xf numFmtId="164" fontId="4" fillId="3" borderId="0" xfId="0" applyNumberFormat="1" applyFont="1" applyFill="1"/>
    <xf numFmtId="164" fontId="14" fillId="3" borderId="0" xfId="0" applyNumberFormat="1" applyFont="1" applyFill="1"/>
    <xf numFmtId="165" fontId="20" fillId="3" borderId="0" xfId="0" applyNumberFormat="1" applyFont="1" applyFill="1"/>
    <xf numFmtId="0" fontId="14" fillId="3" borderId="0" xfId="0" applyFont="1" applyFill="1"/>
    <xf numFmtId="0" fontId="9" fillId="3" borderId="0" xfId="0" quotePrefix="1" applyFont="1" applyFill="1" applyAlignment="1">
      <alignment horizontal="right"/>
    </xf>
    <xf numFmtId="0" fontId="3" fillId="3" borderId="0" xfId="0" quotePrefix="1" applyFont="1" applyFill="1" applyAlignment="1">
      <alignment horizontal="right"/>
    </xf>
    <xf numFmtId="164" fontId="10" fillId="3" borderId="0" xfId="0" applyNumberFormat="1" applyFont="1" applyFill="1"/>
    <xf numFmtId="164" fontId="5" fillId="3" borderId="0" xfId="0" applyNumberFormat="1" applyFont="1" applyFill="1"/>
    <xf numFmtId="165" fontId="10" fillId="3" borderId="0" xfId="0" applyNumberFormat="1" applyFont="1" applyFill="1"/>
    <xf numFmtId="0" fontId="3" fillId="3" borderId="0" xfId="0" applyFont="1" applyFill="1" applyAlignment="1">
      <alignment horizontal="left" wrapText="1" indent="2"/>
    </xf>
    <xf numFmtId="0" fontId="3" fillId="3" borderId="0" xfId="0" applyFont="1" applyFill="1" applyAlignment="1">
      <alignment horizontal="left" wrapText="1" indent="3"/>
    </xf>
    <xf numFmtId="0" fontId="3" fillId="3" borderId="0" xfId="0" applyFont="1" applyFill="1" applyAlignment="1">
      <alignment horizontal="left" wrapText="1" indent="4"/>
    </xf>
    <xf numFmtId="164" fontId="3" fillId="3" borderId="0" xfId="0" applyNumberFormat="1" applyFont="1" applyFill="1"/>
    <xf numFmtId="0" fontId="3" fillId="3" borderId="0" xfId="0" applyFont="1" applyFill="1" applyAlignment="1">
      <alignment horizontal="left" wrapText="1"/>
    </xf>
    <xf numFmtId="0" fontId="1" fillId="3" borderId="0" xfId="0" applyFont="1" applyFill="1"/>
    <xf numFmtId="0" fontId="9" fillId="3" borderId="0" xfId="0" applyFont="1" applyFill="1" applyAlignment="1">
      <alignment wrapText="1"/>
    </xf>
    <xf numFmtId="0" fontId="12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5" fillId="3" borderId="0" xfId="0" applyFont="1" applyFill="1"/>
    <xf numFmtId="49" fontId="3" fillId="3" borderId="0" xfId="0" applyNumberFormat="1" applyFont="1" applyFill="1" applyAlignment="1">
      <alignment horizontal="right"/>
    </xf>
    <xf numFmtId="0" fontId="3" fillId="3" borderId="0" xfId="0" quotePrefix="1" applyFont="1" applyFill="1"/>
    <xf numFmtId="3" fontId="12" fillId="3" borderId="0" xfId="0" applyNumberFormat="1" applyFont="1" applyFill="1"/>
    <xf numFmtId="0" fontId="3" fillId="3" borderId="0" xfId="0" quotePrefix="1" applyFont="1" applyFill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/>
    <xf numFmtId="0" fontId="17" fillId="3" borderId="0" xfId="0" applyFont="1" applyFill="1" applyAlignment="1">
      <alignment horizontal="left" wrapText="1"/>
    </xf>
    <xf numFmtId="0" fontId="4" fillId="3" borderId="0" xfId="0" applyFont="1" applyFill="1"/>
    <xf numFmtId="0" fontId="12" fillId="3" borderId="0" xfId="0" applyFont="1" applyFill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/>
    <xf numFmtId="0" fontId="35" fillId="3" borderId="0" xfId="0" applyFont="1" applyFill="1"/>
    <xf numFmtId="164" fontId="15" fillId="3" borderId="0" xfId="0" applyNumberFormat="1" applyFont="1" applyFill="1"/>
    <xf numFmtId="165" fontId="5" fillId="3" borderId="0" xfId="0" applyNumberFormat="1" applyFont="1" applyFill="1"/>
    <xf numFmtId="164" fontId="10" fillId="3" borderId="0" xfId="0" applyNumberFormat="1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Font="1" applyFill="1" applyBorder="1" applyAlignment="1" applyProtection="1">
      <alignment horizontal="left" wrapText="1"/>
      <protection locked="0" hidden="1"/>
    </xf>
    <xf numFmtId="0" fontId="19" fillId="3" borderId="0" xfId="0" applyFont="1" applyFill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15" xfId="0" applyFont="1" applyFill="1" applyBorder="1" applyAlignment="1">
      <alignment horizontal="center"/>
    </xf>
    <xf numFmtId="0" fontId="39" fillId="3" borderId="24" xfId="0" applyFont="1" applyFill="1" applyBorder="1" applyAlignment="1">
      <alignment horizontal="center"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 wrapText="1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165" fontId="20" fillId="3" borderId="0" xfId="0" applyNumberFormat="1" applyFont="1" applyFill="1" applyAlignment="1">
      <alignment horizontal="center" vertical="center" wrapText="1"/>
    </xf>
    <xf numFmtId="164" fontId="20" fillId="3" borderId="0" xfId="0" applyNumberFormat="1" applyFont="1" applyFill="1" applyAlignment="1">
      <alignment horizontal="right"/>
    </xf>
    <xf numFmtId="164" fontId="19" fillId="3" borderId="0" xfId="0" applyNumberFormat="1" applyFont="1" applyFill="1"/>
    <xf numFmtId="0" fontId="9" fillId="3" borderId="0" xfId="0" quotePrefix="1" applyFont="1" applyFill="1" applyAlignment="1">
      <alignment horizontal="right" vertical="center"/>
    </xf>
    <xf numFmtId="0" fontId="3" fillId="3" borderId="0" xfId="0" quotePrefix="1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164" fontId="19" fillId="3" borderId="0" xfId="0" applyNumberFormat="1" applyFont="1" applyFill="1" applyAlignment="1">
      <alignment horizontal="right" vertic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0" fontId="11" fillId="3" borderId="0" xfId="0" applyFont="1" applyFill="1" applyAlignment="1">
      <alignment horizontal="right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39" fillId="3" borderId="33" xfId="0" applyFont="1" applyFill="1" applyBorder="1" applyAlignment="1">
      <alignment horizontal="center" vertical="center"/>
    </xf>
    <xf numFmtId="165" fontId="42" fillId="3" borderId="0" xfId="0" applyNumberFormat="1" applyFont="1" applyFill="1"/>
    <xf numFmtId="165" fontId="42" fillId="3" borderId="0" xfId="0" applyNumberFormat="1" applyFont="1" applyFill="1" applyAlignment="1">
      <alignment horizontal="left"/>
    </xf>
    <xf numFmtId="0" fontId="42" fillId="3" borderId="0" xfId="0" applyFont="1" applyFill="1"/>
    <xf numFmtId="164" fontId="42" fillId="3" borderId="0" xfId="0" applyNumberFormat="1" applyFont="1" applyFill="1" applyAlignment="1">
      <alignment horizontal="right"/>
    </xf>
    <xf numFmtId="164" fontId="10" fillId="6" borderId="0" xfId="0" applyNumberFormat="1" applyFont="1" applyFill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3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/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ill="1" applyBorder="1"/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39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9" xfId="0" applyFont="1" applyFill="1" applyBorder="1" applyAlignment="1">
      <alignment wrapText="1"/>
    </xf>
    <xf numFmtId="49" fontId="10" fillId="3" borderId="9" xfId="0" applyNumberFormat="1" applyFont="1" applyFill="1" applyBorder="1" applyAlignment="1">
      <alignment wrapText="1"/>
    </xf>
    <xf numFmtId="0" fontId="10" fillId="3" borderId="9" xfId="0" applyFont="1" applyFill="1" applyBorder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41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Font="1" applyFill="1" applyBorder="1" applyAlignment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165" fontId="41" fillId="3" borderId="6" xfId="0" applyNumberFormat="1" applyFont="1" applyFill="1" applyBorder="1" applyAlignment="1">
      <alignment horizontal="right" wrapText="1"/>
    </xf>
    <xf numFmtId="0" fontId="41" fillId="3" borderId="9" xfId="0" applyFont="1" applyFill="1" applyBorder="1" applyAlignment="1">
      <alignment wrapText="1"/>
    </xf>
    <xf numFmtId="0" fontId="3" fillId="3" borderId="23" xfId="0" applyFont="1" applyFill="1" applyBorder="1" applyAlignment="1">
      <alignment horizont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10" fillId="3" borderId="12" xfId="0" applyFont="1" applyFill="1" applyBorder="1" applyAlignment="1">
      <alignment wrapText="1"/>
    </xf>
    <xf numFmtId="0" fontId="41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27" fillId="3" borderId="0" xfId="0" applyFont="1" applyFill="1" applyAlignment="1">
      <alignment horizontal="right"/>
    </xf>
    <xf numFmtId="0" fontId="10" fillId="3" borderId="12" xfId="0" applyFont="1" applyFill="1" applyBorder="1" applyAlignment="1" applyProtection="1">
      <alignment horizontal="left" wrapText="1"/>
      <protection locked="0" hidden="1"/>
    </xf>
    <xf numFmtId="164" fontId="19" fillId="3" borderId="12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49" fontId="3" fillId="3" borderId="21" xfId="0" applyNumberFormat="1" applyFont="1" applyFill="1" applyBorder="1" applyAlignment="1">
      <alignment horizontal="right"/>
    </xf>
    <xf numFmtId="164" fontId="41" fillId="3" borderId="6" xfId="0" applyNumberFormat="1" applyFont="1" applyFill="1" applyBorder="1" applyAlignment="1">
      <alignment horizontal="right" wrapText="1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6" fillId="3" borderId="0" xfId="0" applyFont="1" applyFill="1"/>
    <xf numFmtId="164" fontId="12" fillId="3" borderId="8" xfId="0" applyNumberFormat="1" applyFont="1" applyFill="1" applyBorder="1" applyAlignment="1">
      <alignment horizontal="right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5" fillId="3" borderId="6" xfId="0" applyFont="1" applyFill="1" applyBorder="1" applyAlignment="1">
      <alignment horizontal="left" vertical="center" wrapText="1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1" fillId="3" borderId="39" xfId="0" applyFont="1" applyFill="1" applyBorder="1" applyAlignment="1">
      <alignment horizontal="center"/>
    </xf>
    <xf numFmtId="0" fontId="41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45" fillId="3" borderId="5" xfId="0" applyFont="1" applyFill="1" applyBorder="1" applyAlignment="1">
      <alignment horizontal="left" wrapText="1"/>
    </xf>
    <xf numFmtId="0" fontId="46" fillId="3" borderId="26" xfId="0" quotePrefix="1" applyFont="1" applyFill="1" applyBorder="1" applyAlignment="1">
      <alignment horizontal="right"/>
    </xf>
    <xf numFmtId="0" fontId="47" fillId="3" borderId="25" xfId="0" applyFont="1" applyFill="1" applyBorder="1" applyAlignment="1">
      <alignment horizontal="right"/>
    </xf>
    <xf numFmtId="0" fontId="47" fillId="3" borderId="27" xfId="0" applyFont="1" applyFill="1" applyBorder="1" applyAlignment="1">
      <alignment horizontal="right"/>
    </xf>
    <xf numFmtId="0" fontId="47" fillId="3" borderId="34" xfId="0" applyFont="1" applyFill="1" applyBorder="1" applyAlignment="1">
      <alignment horizontal="center"/>
    </xf>
    <xf numFmtId="0" fontId="47" fillId="3" borderId="34" xfId="0" applyFont="1" applyFill="1" applyBorder="1" applyAlignment="1">
      <alignment horizontal="right"/>
    </xf>
    <xf numFmtId="164" fontId="48" fillId="3" borderId="5" xfId="0" applyNumberFormat="1" applyFont="1" applyFill="1" applyBorder="1" applyAlignment="1">
      <alignment horizontal="right"/>
    </xf>
    <xf numFmtId="0" fontId="45" fillId="3" borderId="6" xfId="0" applyFont="1" applyFill="1" applyBorder="1" applyAlignment="1">
      <alignment horizontal="left" wrapText="1"/>
    </xf>
    <xf numFmtId="0" fontId="46" fillId="3" borderId="14" xfId="0" quotePrefix="1" applyFont="1" applyFill="1" applyBorder="1" applyAlignment="1">
      <alignment horizontal="right"/>
    </xf>
    <xf numFmtId="0" fontId="46" fillId="3" borderId="1" xfId="0" applyFont="1" applyFill="1" applyBorder="1" applyAlignment="1">
      <alignment horizontal="right" wrapText="1"/>
    </xf>
    <xf numFmtId="0" fontId="49" fillId="3" borderId="20" xfId="0" quotePrefix="1" applyFont="1" applyFill="1" applyBorder="1" applyAlignment="1">
      <alignment horizontal="right"/>
    </xf>
    <xf numFmtId="0" fontId="49" fillId="3" borderId="21" xfId="0" applyFont="1" applyFill="1" applyBorder="1" applyAlignment="1">
      <alignment horizontal="center"/>
    </xf>
    <xf numFmtId="0" fontId="49" fillId="3" borderId="21" xfId="0" applyFont="1" applyFill="1" applyBorder="1" applyAlignment="1">
      <alignment horizontal="right"/>
    </xf>
    <xf numFmtId="164" fontId="48" fillId="3" borderId="6" xfId="0" applyNumberFormat="1" applyFont="1" applyFill="1" applyBorder="1" applyAlignment="1">
      <alignment horizontal="right"/>
    </xf>
    <xf numFmtId="0" fontId="50" fillId="3" borderId="6" xfId="0" applyFont="1" applyFill="1" applyBorder="1" applyAlignment="1">
      <alignment horizontal="left" wrapText="1"/>
    </xf>
    <xf numFmtId="0" fontId="51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21" xfId="0" applyFont="1" applyFill="1" applyBorder="1" applyAlignment="1">
      <alignment horizontal="right"/>
    </xf>
    <xf numFmtId="164" fontId="53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left" wrapText="1"/>
      <protection locked="0" hidden="1"/>
    </xf>
    <xf numFmtId="49" fontId="50" fillId="3" borderId="21" xfId="0" applyNumberFormat="1" applyFont="1" applyFill="1" applyBorder="1" applyAlignment="1" applyProtection="1">
      <alignment horizontal="center" wrapText="1"/>
      <protection locked="0" hidden="1"/>
    </xf>
    <xf numFmtId="49" fontId="50" fillId="3" borderId="6" xfId="0" applyNumberFormat="1" applyFont="1" applyFill="1" applyBorder="1" applyAlignment="1" applyProtection="1">
      <alignment wrapText="1"/>
      <protection locked="0" hidden="1"/>
    </xf>
    <xf numFmtId="0" fontId="52" fillId="3" borderId="21" xfId="0" quotePrefix="1" applyFont="1" applyFill="1" applyBorder="1" applyAlignment="1">
      <alignment horizontal="right"/>
    </xf>
    <xf numFmtId="0" fontId="50" fillId="3" borderId="6" xfId="0" applyFont="1" applyFill="1" applyBorder="1" applyAlignment="1">
      <alignment wrapText="1"/>
    </xf>
    <xf numFmtId="49" fontId="50" fillId="3" borderId="6" xfId="0" applyNumberFormat="1" applyFont="1" applyFill="1" applyBorder="1" applyAlignment="1">
      <alignment wrapText="1"/>
    </xf>
    <xf numFmtId="0" fontId="50" fillId="3" borderId="14" xfId="0" quotePrefix="1" applyFont="1" applyFill="1" applyBorder="1" applyAlignment="1">
      <alignment horizontal="right"/>
    </xf>
    <xf numFmtId="0" fontId="50" fillId="3" borderId="1" xfId="0" quotePrefix="1" applyFont="1" applyFill="1" applyBorder="1" applyAlignment="1">
      <alignment horizontal="right"/>
    </xf>
    <xf numFmtId="0" fontId="50" fillId="3" borderId="20" xfId="0" quotePrefix="1" applyFont="1" applyFill="1" applyBorder="1" applyAlignment="1">
      <alignment horizontal="right"/>
    </xf>
    <xf numFmtId="49" fontId="50" fillId="3" borderId="21" xfId="0" applyNumberFormat="1" applyFont="1" applyFill="1" applyBorder="1" applyAlignment="1">
      <alignment horizontal="center"/>
    </xf>
    <xf numFmtId="49" fontId="50" fillId="3" borderId="6" xfId="0" applyNumberFormat="1" applyFont="1" applyFill="1" applyBorder="1" applyAlignment="1" applyProtection="1">
      <alignment vertical="center" wrapText="1"/>
      <protection locked="0" hidden="1"/>
    </xf>
    <xf numFmtId="0" fontId="50" fillId="3" borderId="6" xfId="0" applyFont="1" applyFill="1" applyBorder="1" applyAlignment="1" applyProtection="1">
      <alignment wrapText="1"/>
      <protection locked="0" hidden="1"/>
    </xf>
    <xf numFmtId="0" fontId="50" fillId="3" borderId="6" xfId="0" applyFont="1" applyFill="1" applyBorder="1" applyAlignment="1">
      <alignment horizontal="left" vertical="center" wrapText="1"/>
    </xf>
    <xf numFmtId="0" fontId="52" fillId="3" borderId="21" xfId="0" quotePrefix="1" applyFont="1" applyFill="1" applyBorder="1" applyAlignment="1">
      <alignment horizontal="center"/>
    </xf>
    <xf numFmtId="0" fontId="50" fillId="3" borderId="6" xfId="0" applyFont="1" applyFill="1" applyBorder="1" applyAlignment="1" applyProtection="1">
      <alignment horizontal="left" wrapText="1"/>
      <protection locked="0" hidden="1"/>
    </xf>
    <xf numFmtId="49" fontId="5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21" xfId="0" quotePrefix="1" applyFont="1" applyFill="1" applyBorder="1" applyAlignment="1">
      <alignment horizontal="right" wrapText="1"/>
    </xf>
    <xf numFmtId="0" fontId="51" fillId="3" borderId="14" xfId="0" quotePrefix="1" applyFont="1" applyFill="1" applyBorder="1" applyAlignment="1">
      <alignment horizontal="right" wrapText="1"/>
    </xf>
    <xf numFmtId="49" fontId="52" fillId="3" borderId="21" xfId="0" applyNumberFormat="1" applyFont="1" applyFill="1" applyBorder="1" applyAlignment="1">
      <alignment horizontal="right"/>
    </xf>
    <xf numFmtId="0" fontId="54" fillId="3" borderId="21" xfId="0" applyFont="1" applyFill="1" applyBorder="1"/>
    <xf numFmtId="0" fontId="50" fillId="3" borderId="6" xfId="0" applyFont="1" applyFill="1" applyBorder="1" applyAlignment="1" applyProtection="1">
      <alignment vertical="center" wrapText="1"/>
      <protection locked="0" hidden="1"/>
    </xf>
    <xf numFmtId="0" fontId="52" fillId="3" borderId="1" xfId="0" quotePrefix="1" applyFont="1" applyFill="1" applyBorder="1" applyAlignment="1">
      <alignment horizontal="right" wrapText="1"/>
    </xf>
    <xf numFmtId="0" fontId="52" fillId="3" borderId="20" xfId="0" quotePrefix="1" applyFont="1" applyFill="1" applyBorder="1" applyAlignment="1">
      <alignment horizontal="right" wrapText="1"/>
    </xf>
    <xf numFmtId="0" fontId="51" fillId="3" borderId="21" xfId="0" applyFont="1" applyFill="1" applyBorder="1" applyAlignment="1">
      <alignment horizontal="center"/>
    </xf>
    <xf numFmtId="0" fontId="49" fillId="3" borderId="1" xfId="0" quotePrefix="1" applyFont="1" applyFill="1" applyBorder="1" applyAlignment="1">
      <alignment horizontal="right"/>
    </xf>
    <xf numFmtId="0" fontId="55" fillId="3" borderId="21" xfId="0" applyFont="1" applyFill="1" applyBorder="1" applyAlignment="1">
      <alignment horizontal="right"/>
    </xf>
    <xf numFmtId="0" fontId="51" fillId="3" borderId="21" xfId="0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right" wrapText="1"/>
    </xf>
    <xf numFmtId="164" fontId="53" fillId="3" borderId="6" xfId="0" applyNumberFormat="1" applyFont="1" applyFill="1" applyBorder="1"/>
    <xf numFmtId="0" fontId="56" fillId="3" borderId="21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49" fontId="52" fillId="3" borderId="1" xfId="0" applyNumberFormat="1" applyFont="1" applyFill="1" applyBorder="1" applyAlignment="1">
      <alignment horizontal="right"/>
    </xf>
    <xf numFmtId="49" fontId="52" fillId="3" borderId="20" xfId="0" applyNumberFormat="1" applyFont="1" applyFill="1" applyBorder="1" applyAlignment="1">
      <alignment horizontal="right"/>
    </xf>
    <xf numFmtId="0" fontId="51" fillId="3" borderId="1" xfId="0" quotePrefix="1" applyFont="1" applyFill="1" applyBorder="1" applyAlignment="1">
      <alignment horizontal="right"/>
    </xf>
    <xf numFmtId="0" fontId="51" fillId="3" borderId="20" xfId="0" quotePrefix="1" applyFont="1" applyFill="1" applyBorder="1" applyAlignment="1">
      <alignment horizontal="right"/>
    </xf>
    <xf numFmtId="49" fontId="51" fillId="3" borderId="21" xfId="0" applyNumberFormat="1" applyFont="1" applyFill="1" applyBorder="1" applyAlignment="1">
      <alignment horizontal="center" wrapText="1"/>
    </xf>
    <xf numFmtId="0" fontId="50" fillId="3" borderId="21" xfId="0" quotePrefix="1" applyFont="1" applyFill="1" applyBorder="1" applyAlignment="1">
      <alignment horizontal="right"/>
    </xf>
    <xf numFmtId="0" fontId="55" fillId="3" borderId="21" xfId="0" applyFont="1" applyFill="1" applyBorder="1"/>
    <xf numFmtId="49" fontId="50" fillId="3" borderId="21" xfId="0" applyNumberFormat="1" applyFont="1" applyFill="1" applyBorder="1" applyAlignment="1">
      <alignment horizontal="center" wrapText="1"/>
    </xf>
    <xf numFmtId="0" fontId="49" fillId="3" borderId="21" xfId="0" quotePrefix="1" applyFont="1" applyFill="1" applyBorder="1" applyAlignment="1">
      <alignment horizontal="right"/>
    </xf>
    <xf numFmtId="0" fontId="51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center" wrapText="1"/>
      <protection locked="0" hidden="1"/>
    </xf>
    <xf numFmtId="0" fontId="49" fillId="3" borderId="3" xfId="0" quotePrefix="1" applyFont="1" applyFill="1" applyBorder="1" applyAlignment="1">
      <alignment horizontal="right"/>
    </xf>
    <xf numFmtId="0" fontId="52" fillId="3" borderId="3" xfId="0" applyFont="1" applyFill="1" applyBorder="1" applyAlignment="1">
      <alignment horizontal="right"/>
    </xf>
    <xf numFmtId="0" fontId="52" fillId="3" borderId="3" xfId="0" quotePrefix="1" applyFont="1" applyFill="1" applyBorder="1" applyAlignment="1">
      <alignment horizontal="right"/>
    </xf>
    <xf numFmtId="0" fontId="49" fillId="3" borderId="20" xfId="0" applyFont="1" applyFill="1" applyBorder="1" applyAlignment="1">
      <alignment horizontal="right"/>
    </xf>
    <xf numFmtId="0" fontId="52" fillId="3" borderId="1" xfId="0" applyFont="1" applyFill="1" applyBorder="1" applyAlignment="1">
      <alignment horizontal="right"/>
    </xf>
    <xf numFmtId="0" fontId="50" fillId="3" borderId="8" xfId="0" applyFont="1" applyFill="1" applyBorder="1" applyAlignment="1">
      <alignment horizontal="left" wrapText="1"/>
    </xf>
    <xf numFmtId="0" fontId="50" fillId="3" borderId="6" xfId="0" applyFont="1" applyFill="1" applyBorder="1" applyAlignment="1" applyProtection="1">
      <alignment horizontal="left" vertical="center" wrapText="1"/>
      <protection locked="0" hidden="1"/>
    </xf>
    <xf numFmtId="0" fontId="50" fillId="3" borderId="9" xfId="0" applyFont="1" applyFill="1" applyBorder="1" applyAlignment="1">
      <alignment horizontal="left" wrapText="1"/>
    </xf>
    <xf numFmtId="0" fontId="50" fillId="3" borderId="12" xfId="0" applyFont="1" applyFill="1" applyBorder="1" applyAlignment="1">
      <alignment horizontal="left" wrapText="1"/>
    </xf>
    <xf numFmtId="0" fontId="52" fillId="3" borderId="20" xfId="0" applyFont="1" applyFill="1" applyBorder="1" applyAlignment="1">
      <alignment horizontal="center"/>
    </xf>
    <xf numFmtId="0" fontId="51" fillId="3" borderId="20" xfId="0" applyFont="1" applyFill="1" applyBorder="1" applyAlignment="1">
      <alignment horizontal="center"/>
    </xf>
    <xf numFmtId="49" fontId="50" fillId="3" borderId="20" xfId="0" applyNumberFormat="1" applyFont="1" applyFill="1" applyBorder="1" applyAlignment="1" applyProtection="1">
      <alignment horizontal="center" wrapText="1"/>
      <protection locked="0" hidden="1"/>
    </xf>
    <xf numFmtId="0" fontId="52" fillId="3" borderId="21" xfId="0" applyFont="1" applyFill="1" applyBorder="1"/>
    <xf numFmtId="165" fontId="53" fillId="3" borderId="6" xfId="0" applyNumberFormat="1" applyFont="1" applyFill="1" applyBorder="1"/>
    <xf numFmtId="0" fontId="50" fillId="0" borderId="9" xfId="0" applyFont="1" applyBorder="1" applyAlignment="1">
      <alignment wrapText="1"/>
    </xf>
    <xf numFmtId="0" fontId="50" fillId="3" borderId="9" xfId="0" applyFont="1" applyFill="1" applyBorder="1" applyAlignment="1">
      <alignment wrapText="1"/>
    </xf>
    <xf numFmtId="0" fontId="46" fillId="3" borderId="1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7" fillId="3" borderId="1" xfId="0" quotePrefix="1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50" fillId="3" borderId="6" xfId="0" applyFont="1" applyFill="1" applyBorder="1"/>
    <xf numFmtId="0" fontId="56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0" fontId="52" fillId="3" borderId="21" xfId="0" quotePrefix="1" applyFont="1" applyFill="1" applyBorder="1"/>
    <xf numFmtId="0" fontId="51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0" fontId="50" fillId="3" borderId="21" xfId="0" applyFont="1" applyFill="1" applyBorder="1" applyAlignment="1">
      <alignment horizontal="right"/>
    </xf>
    <xf numFmtId="0" fontId="52" fillId="3" borderId="6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>
      <alignment horizontal="center" wrapText="1"/>
    </xf>
    <xf numFmtId="0" fontId="56" fillId="3" borderId="1" xfId="0" applyFont="1" applyFill="1" applyBorder="1" applyAlignment="1">
      <alignment horizontal="right"/>
    </xf>
    <xf numFmtId="49" fontId="50" fillId="3" borderId="9" xfId="0" applyNumberFormat="1" applyFont="1" applyFill="1" applyBorder="1" applyAlignment="1">
      <alignment wrapText="1"/>
    </xf>
    <xf numFmtId="0" fontId="50" fillId="3" borderId="21" xfId="0" applyFont="1" applyFill="1" applyBorder="1" applyAlignment="1">
      <alignment horizontal="center"/>
    </xf>
    <xf numFmtId="164" fontId="48" fillId="3" borderId="21" xfId="0" applyNumberFormat="1" applyFont="1" applyFill="1" applyBorder="1" applyAlignment="1">
      <alignment horizontal="right"/>
    </xf>
    <xf numFmtId="164" fontId="53" fillId="3" borderId="21" xfId="0" applyNumberFormat="1" applyFont="1" applyFill="1" applyBorder="1" applyAlignment="1">
      <alignment horizontal="right"/>
    </xf>
    <xf numFmtId="0" fontId="50" fillId="3" borderId="0" xfId="0" applyFont="1" applyFill="1" applyAlignment="1">
      <alignment wrapText="1"/>
    </xf>
    <xf numFmtId="0" fontId="45" fillId="3" borderId="7" xfId="0" applyFont="1" applyFill="1" applyBorder="1" applyAlignment="1">
      <alignment horizontal="left" wrapText="1"/>
    </xf>
    <xf numFmtId="0" fontId="52" fillId="3" borderId="16" xfId="0" applyFont="1" applyFill="1" applyBorder="1" applyAlignment="1">
      <alignment horizontal="right"/>
    </xf>
    <xf numFmtId="0" fontId="52" fillId="3" borderId="17" xfId="0" applyFont="1" applyFill="1" applyBorder="1" applyAlignment="1">
      <alignment horizontal="right"/>
    </xf>
    <xf numFmtId="0" fontId="52" fillId="3" borderId="19" xfId="0" applyFont="1" applyFill="1" applyBorder="1" applyAlignment="1">
      <alignment horizontal="right"/>
    </xf>
    <xf numFmtId="0" fontId="52" fillId="3" borderId="23" xfId="0" applyFont="1" applyFill="1" applyBorder="1" applyAlignment="1">
      <alignment horizontal="center"/>
    </xf>
    <xf numFmtId="164" fontId="48" fillId="3" borderId="23" xfId="0" applyNumberFormat="1" applyFont="1" applyFill="1" applyBorder="1" applyAlignment="1">
      <alignment horizontal="right"/>
    </xf>
    <xf numFmtId="164" fontId="48" fillId="3" borderId="7" xfId="0" applyNumberFormat="1" applyFont="1" applyFill="1" applyBorder="1" applyAlignment="1">
      <alignment horizontal="right"/>
    </xf>
    <xf numFmtId="164" fontId="19" fillId="3" borderId="6" xfId="0" applyNumberFormat="1" applyFont="1" applyFill="1" applyBorder="1"/>
    <xf numFmtId="164" fontId="3" fillId="3" borderId="12" xfId="0" applyNumberFormat="1" applyFont="1" applyFill="1" applyBorder="1" applyAlignment="1">
      <alignment horizontal="right"/>
    </xf>
    <xf numFmtId="0" fontId="51" fillId="3" borderId="41" xfId="0" quotePrefix="1" applyFont="1" applyFill="1" applyBorder="1" applyAlignment="1">
      <alignment horizontal="right"/>
    </xf>
    <xf numFmtId="0" fontId="52" fillId="3" borderId="42" xfId="0" quotePrefix="1" applyFont="1" applyFill="1" applyBorder="1" applyAlignment="1">
      <alignment horizontal="right"/>
    </xf>
    <xf numFmtId="0" fontId="52" fillId="3" borderId="43" xfId="0" quotePrefix="1" applyFont="1" applyFill="1" applyBorder="1" applyAlignment="1">
      <alignment horizontal="right"/>
    </xf>
    <xf numFmtId="0" fontId="50" fillId="3" borderId="30" xfId="0" applyFont="1" applyFill="1" applyBorder="1" applyAlignment="1">
      <alignment horizontal="center"/>
    </xf>
    <xf numFmtId="49" fontId="52" fillId="3" borderId="30" xfId="0" applyNumberFormat="1" applyFont="1" applyFill="1" applyBorder="1" applyAlignment="1">
      <alignment horizontal="right"/>
    </xf>
    <xf numFmtId="164" fontId="53" fillId="3" borderId="8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41" fillId="0" borderId="0" xfId="0" applyFont="1"/>
    <xf numFmtId="0" fontId="3" fillId="3" borderId="6" xfId="0" applyFont="1" applyFill="1" applyBorder="1" applyAlignment="1">
      <alignment horizontal="center"/>
    </xf>
    <xf numFmtId="164" fontId="12" fillId="3" borderId="6" xfId="0" applyNumberFormat="1" applyFont="1" applyFill="1" applyBorder="1" applyAlignment="1">
      <alignment horizontal="right"/>
    </xf>
    <xf numFmtId="0" fontId="59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1" fillId="0" borderId="0" xfId="0" applyFont="1"/>
    <xf numFmtId="165" fontId="52" fillId="3" borderId="21" xfId="0" applyNumberFormat="1" applyFont="1" applyFill="1" applyBorder="1" applyAlignment="1">
      <alignment horizontal="right"/>
    </xf>
    <xf numFmtId="164" fontId="48" fillId="3" borderId="44" xfId="0" applyNumberFormat="1" applyFont="1" applyFill="1" applyBorder="1" applyAlignment="1">
      <alignment horizontal="right"/>
    </xf>
    <xf numFmtId="164" fontId="48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/>
    <xf numFmtId="165" fontId="53" fillId="3" borderId="12" xfId="0" applyNumberFormat="1" applyFont="1" applyFill="1" applyBorder="1"/>
    <xf numFmtId="164" fontId="50" fillId="3" borderId="12" xfId="0" applyNumberFormat="1" applyFont="1" applyFill="1" applyBorder="1" applyAlignment="1">
      <alignment horizontal="right"/>
    </xf>
    <xf numFmtId="164" fontId="53" fillId="3" borderId="11" xfId="0" applyNumberFormat="1" applyFont="1" applyFill="1" applyBorder="1" applyAlignment="1">
      <alignment horizontal="right"/>
    </xf>
    <xf numFmtId="165" fontId="52" fillId="3" borderId="3" xfId="0" applyNumberFormat="1" applyFont="1" applyFill="1" applyBorder="1" applyAlignment="1">
      <alignment horizontal="right"/>
    </xf>
    <xf numFmtId="164" fontId="48" fillId="3" borderId="3" xfId="0" applyNumberFormat="1" applyFont="1" applyFill="1" applyBorder="1" applyAlignment="1">
      <alignment horizontal="right"/>
    </xf>
    <xf numFmtId="164" fontId="53" fillId="3" borderId="3" xfId="0" applyNumberFormat="1" applyFont="1" applyFill="1" applyBorder="1" applyAlignment="1">
      <alignment horizontal="right"/>
    </xf>
    <xf numFmtId="164" fontId="48" fillId="3" borderId="18" xfId="0" applyNumberFormat="1" applyFont="1" applyFill="1" applyBorder="1" applyAlignment="1">
      <alignment horizontal="right"/>
    </xf>
    <xf numFmtId="166" fontId="48" fillId="3" borderId="1" xfId="0" applyNumberFormat="1" applyFont="1" applyFill="1" applyBorder="1" applyAlignment="1">
      <alignment horizontal="right"/>
    </xf>
    <xf numFmtId="166" fontId="53" fillId="3" borderId="1" xfId="0" applyNumberFormat="1" applyFont="1" applyFill="1" applyBorder="1" applyAlignment="1">
      <alignment horizontal="right"/>
    </xf>
    <xf numFmtId="166" fontId="48" fillId="3" borderId="42" xfId="0" applyNumberFormat="1" applyFont="1" applyFill="1" applyBorder="1" applyAlignment="1">
      <alignment horizontal="right"/>
    </xf>
    <xf numFmtId="164" fontId="60" fillId="3" borderId="12" xfId="0" applyNumberFormat="1" applyFont="1" applyFill="1" applyBorder="1" applyAlignment="1">
      <alignment horizontal="right"/>
    </xf>
    <xf numFmtId="49" fontId="45" fillId="3" borderId="21" xfId="0" applyNumberFormat="1" applyFont="1" applyFill="1" applyBorder="1" applyAlignment="1" applyProtection="1">
      <alignment horizontal="center" wrapText="1"/>
      <protection locked="0" hidden="1"/>
    </xf>
    <xf numFmtId="0" fontId="49" fillId="3" borderId="21" xfId="0" quotePrefix="1" applyFont="1" applyFill="1" applyBorder="1" applyAlignment="1">
      <alignment horizontal="right" wrapText="1"/>
    </xf>
    <xf numFmtId="164" fontId="53" fillId="3" borderId="13" xfId="0" applyNumberFormat="1" applyFont="1" applyFill="1" applyBorder="1" applyAlignment="1">
      <alignment horizontal="right"/>
    </xf>
    <xf numFmtId="164" fontId="53" fillId="3" borderId="22" xfId="0" applyNumberFormat="1" applyFont="1" applyFill="1" applyBorder="1" applyAlignment="1">
      <alignment horizontal="right"/>
    </xf>
    <xf numFmtId="166" fontId="53" fillId="3" borderId="40" xfId="0" applyNumberFormat="1" applyFont="1" applyFill="1" applyBorder="1" applyAlignment="1">
      <alignment horizontal="right"/>
    </xf>
    <xf numFmtId="166" fontId="48" fillId="3" borderId="19" xfId="0" applyNumberFormat="1" applyFont="1" applyFill="1" applyBorder="1" applyAlignment="1">
      <alignment horizontal="right"/>
    </xf>
    <xf numFmtId="165" fontId="12" fillId="3" borderId="23" xfId="0" applyNumberFormat="1" applyFont="1" applyFill="1" applyBorder="1" applyAlignment="1">
      <alignment horizontal="center" vertical="center" wrapText="1"/>
    </xf>
    <xf numFmtId="165" fontId="16" fillId="3" borderId="10" xfId="0" applyNumberFormat="1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right"/>
    </xf>
    <xf numFmtId="0" fontId="0" fillId="3" borderId="1" xfId="0" applyFill="1" applyBorder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left" wrapText="1"/>
    </xf>
    <xf numFmtId="0" fontId="10" fillId="3" borderId="7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 vertical="top"/>
    </xf>
    <xf numFmtId="0" fontId="10" fillId="3" borderId="36" xfId="0" applyFont="1" applyFill="1" applyBorder="1"/>
    <xf numFmtId="0" fontId="11" fillId="3" borderId="36" xfId="0" applyFont="1" applyFill="1" applyBorder="1"/>
    <xf numFmtId="0" fontId="16" fillId="3" borderId="36" xfId="0" applyFont="1" applyFill="1" applyBorder="1"/>
    <xf numFmtId="0" fontId="0" fillId="3" borderId="36" xfId="0" applyFill="1" applyBorder="1" applyAlignment="1">
      <alignment vertical="center"/>
    </xf>
    <xf numFmtId="164" fontId="20" fillId="3" borderId="44" xfId="0" applyNumberFormat="1" applyFont="1" applyFill="1" applyBorder="1" applyAlignment="1">
      <alignment horizontal="right"/>
    </xf>
    <xf numFmtId="164" fontId="20" fillId="3" borderId="12" xfId="0" applyNumberFormat="1" applyFont="1" applyFill="1" applyBorder="1" applyAlignment="1">
      <alignment horizontal="right"/>
    </xf>
    <xf numFmtId="164" fontId="37" fillId="3" borderId="12" xfId="0" quotePrefix="1" applyNumberFormat="1" applyFont="1" applyFill="1" applyBorder="1" applyAlignment="1">
      <alignment horizontal="right"/>
    </xf>
    <xf numFmtId="164" fontId="37" fillId="3" borderId="12" xfId="0" applyNumberFormat="1" applyFont="1" applyFill="1" applyBorder="1" applyAlignment="1">
      <alignment horizontal="right"/>
    </xf>
    <xf numFmtId="164" fontId="3" fillId="3" borderId="12" xfId="0" quotePrefix="1" applyNumberFormat="1" applyFont="1" applyFill="1" applyBorder="1" applyAlignment="1">
      <alignment horizontal="right"/>
    </xf>
    <xf numFmtId="164" fontId="19" fillId="0" borderId="12" xfId="0" applyNumberFormat="1" applyFont="1" applyBorder="1" applyAlignment="1">
      <alignment horizontal="right"/>
    </xf>
    <xf numFmtId="164" fontId="19" fillId="3" borderId="22" xfId="0" applyNumberFormat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3" fontId="7" fillId="3" borderId="32" xfId="0" applyNumberFormat="1" applyFont="1" applyFill="1" applyBorder="1" applyAlignment="1">
      <alignment horizontal="center"/>
    </xf>
    <xf numFmtId="166" fontId="19" fillId="3" borderId="1" xfId="0" applyNumberFormat="1" applyFont="1" applyFill="1" applyBorder="1" applyAlignment="1">
      <alignment horizontal="right"/>
    </xf>
    <xf numFmtId="166" fontId="20" fillId="3" borderId="1" xfId="0" applyNumberFormat="1" applyFont="1" applyFill="1" applyBorder="1" applyAlignment="1">
      <alignment horizontal="right"/>
    </xf>
    <xf numFmtId="0" fontId="4" fillId="3" borderId="1" xfId="0" quotePrefix="1" applyFont="1" applyFill="1" applyBorder="1" applyAlignment="1">
      <alignment horizontal="right"/>
    </xf>
    <xf numFmtId="164" fontId="20" fillId="0" borderId="6" xfId="0" applyNumberFormat="1" applyFont="1" applyBorder="1" applyAlignment="1">
      <alignment horizontal="right"/>
    </xf>
    <xf numFmtId="164" fontId="20" fillId="0" borderId="12" xfId="0" applyNumberFormat="1" applyFont="1" applyBorder="1" applyAlignment="1">
      <alignment horizontal="right"/>
    </xf>
    <xf numFmtId="164" fontId="12" fillId="3" borderId="10" xfId="0" applyNumberFormat="1" applyFont="1" applyFill="1" applyBorder="1" applyAlignment="1">
      <alignment horizontal="center" vertical="center" wrapText="1"/>
    </xf>
    <xf numFmtId="165" fontId="10" fillId="3" borderId="7" xfId="0" applyNumberFormat="1" applyFont="1" applyFill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right"/>
    </xf>
    <xf numFmtId="166" fontId="20" fillId="3" borderId="10" xfId="0" applyNumberFormat="1" applyFont="1" applyFill="1" applyBorder="1" applyAlignment="1">
      <alignment horizontal="right"/>
    </xf>
    <xf numFmtId="166" fontId="19" fillId="3" borderId="40" xfId="0" applyNumberFormat="1" applyFont="1" applyFill="1" applyBorder="1" applyAlignment="1">
      <alignment horizontal="right"/>
    </xf>
    <xf numFmtId="166" fontId="20" fillId="3" borderId="7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right" vertical="center" wrapText="1"/>
    </xf>
    <xf numFmtId="0" fontId="16" fillId="3" borderId="0" xfId="0" applyFont="1" applyFill="1" applyAlignment="1">
      <alignment horizontal="right" wrapText="1"/>
    </xf>
    <xf numFmtId="164" fontId="10" fillId="3" borderId="1" xfId="0" applyNumberFormat="1" applyFont="1" applyFill="1" applyBorder="1"/>
    <xf numFmtId="0" fontId="4" fillId="3" borderId="45" xfId="0" quotePrefix="1" applyFont="1" applyFill="1" applyBorder="1" applyAlignment="1">
      <alignment horizontal="center"/>
    </xf>
    <xf numFmtId="0" fontId="3" fillId="3" borderId="4" xfId="0" quotePrefix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/>
    </xf>
    <xf numFmtId="0" fontId="52" fillId="3" borderId="3" xfId="0" applyFont="1" applyFill="1" applyBorder="1" applyAlignment="1">
      <alignment horizontal="center"/>
    </xf>
    <xf numFmtId="0" fontId="52" fillId="3" borderId="3" xfId="0" quotePrefix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49" fontId="10" fillId="3" borderId="12" xfId="0" applyNumberFormat="1" applyFont="1" applyFill="1" applyBorder="1" applyAlignment="1">
      <alignment horizontal="center"/>
    </xf>
    <xf numFmtId="0" fontId="4" fillId="3" borderId="12" xfId="0" quotePrefix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51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 wrapText="1"/>
    </xf>
    <xf numFmtId="0" fontId="10" fillId="3" borderId="12" xfId="0" quotePrefix="1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 wrapText="1"/>
    </xf>
    <xf numFmtId="49" fontId="4" fillId="3" borderId="12" xfId="0" applyNumberFormat="1" applyFont="1" applyFill="1" applyBorder="1" applyAlignment="1">
      <alignment horizontal="center"/>
    </xf>
    <xf numFmtId="49" fontId="52" fillId="3" borderId="3" xfId="0" applyNumberFormat="1" applyFon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right" vertical="top"/>
    </xf>
    <xf numFmtId="165" fontId="10" fillId="3" borderId="6" xfId="0" applyNumberFormat="1" applyFont="1" applyFill="1" applyBorder="1" applyAlignment="1">
      <alignment horizontal="right" vertical="top"/>
    </xf>
    <xf numFmtId="164" fontId="12" fillId="3" borderId="7" xfId="0" applyNumberFormat="1" applyFont="1" applyFill="1" applyBorder="1" applyAlignment="1">
      <alignment horizontal="right" wrapText="1"/>
    </xf>
    <xf numFmtId="0" fontId="10" fillId="3" borderId="23" xfId="0" applyFont="1" applyFill="1" applyBorder="1" applyAlignment="1">
      <alignment horizontal="center" vertical="top"/>
    </xf>
    <xf numFmtId="165" fontId="12" fillId="3" borderId="8" xfId="0" applyNumberFormat="1" applyFont="1" applyFill="1" applyBorder="1" applyAlignment="1">
      <alignment horizontal="right" vertical="top"/>
    </xf>
    <xf numFmtId="166" fontId="12" fillId="3" borderId="46" xfId="0" applyNumberFormat="1" applyFont="1" applyFill="1" applyBorder="1" applyAlignment="1">
      <alignment horizontal="right"/>
    </xf>
    <xf numFmtId="166" fontId="10" fillId="3" borderId="46" xfId="0" applyNumberFormat="1" applyFont="1" applyFill="1" applyBorder="1" applyAlignment="1">
      <alignment horizontal="right"/>
    </xf>
    <xf numFmtId="166" fontId="10" fillId="3" borderId="47" xfId="0" applyNumberFormat="1" applyFont="1" applyFill="1" applyBorder="1" applyAlignment="1">
      <alignment horizontal="right"/>
    </xf>
    <xf numFmtId="166" fontId="12" fillId="3" borderId="23" xfId="0" applyNumberFormat="1" applyFont="1" applyFill="1" applyBorder="1" applyAlignment="1">
      <alignment horizontal="right"/>
    </xf>
    <xf numFmtId="165" fontId="3" fillId="3" borderId="6" xfId="0" quotePrefix="1" applyNumberFormat="1" applyFont="1" applyFill="1" applyBorder="1" applyAlignment="1">
      <alignment horizontal="right"/>
    </xf>
    <xf numFmtId="166" fontId="15" fillId="2" borderId="30" xfId="0" applyNumberFormat="1" applyFont="1" applyFill="1" applyBorder="1" applyAlignment="1">
      <alignment horizontal="right" vertical="center"/>
    </xf>
    <xf numFmtId="166" fontId="27" fillId="2" borderId="30" xfId="0" applyNumberFormat="1" applyFont="1" applyFill="1" applyBorder="1" applyAlignment="1">
      <alignment horizontal="right" vertical="center"/>
    </xf>
    <xf numFmtId="166" fontId="27" fillId="2" borderId="39" xfId="0" applyNumberFormat="1" applyFont="1" applyFill="1" applyBorder="1" applyAlignment="1">
      <alignment horizontal="right" vertical="center"/>
    </xf>
    <xf numFmtId="166" fontId="15" fillId="2" borderId="7" xfId="0" applyNumberFormat="1" applyFont="1" applyFill="1" applyBorder="1" applyAlignment="1">
      <alignment horizontal="right" vertical="center"/>
    </xf>
    <xf numFmtId="0" fontId="4" fillId="3" borderId="44" xfId="0" applyFont="1" applyFill="1" applyBorder="1" applyAlignment="1">
      <alignment horizontal="center"/>
    </xf>
    <xf numFmtId="49" fontId="10" fillId="3" borderId="12" xfId="0" applyNumberFormat="1" applyFont="1" applyFill="1" applyBorder="1" applyAlignment="1" applyProtection="1">
      <alignment horizontal="center" wrapText="1"/>
      <protection locked="0" hidden="1"/>
    </xf>
    <xf numFmtId="0" fontId="0" fillId="3" borderId="12" xfId="0" applyFill="1" applyBorder="1"/>
    <xf numFmtId="49" fontId="50" fillId="3" borderId="3" xfId="0" applyNumberFormat="1" applyFont="1" applyFill="1" applyBorder="1" applyAlignment="1" applyProtection="1">
      <alignment horizontal="center" wrapText="1"/>
      <protection locked="0" hidden="1"/>
    </xf>
    <xf numFmtId="49" fontId="50" fillId="3" borderId="3" xfId="0" applyNumberFormat="1" applyFont="1" applyFill="1" applyBorder="1" applyAlignment="1">
      <alignment horizontal="center"/>
    </xf>
    <xf numFmtId="49" fontId="10" fillId="3" borderId="3" xfId="0" applyNumberFormat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49" fontId="9" fillId="3" borderId="12" xfId="0" applyNumberFormat="1" applyFont="1" applyFill="1" applyBorder="1" applyAlignment="1">
      <alignment horizontal="center" wrapText="1"/>
    </xf>
    <xf numFmtId="0" fontId="41" fillId="0" borderId="12" xfId="0" applyFont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1" fillId="0" borderId="15" xfId="0" applyFont="1" applyBorder="1" applyAlignment="1">
      <alignment horizontal="center"/>
    </xf>
    <xf numFmtId="0" fontId="50" fillId="3" borderId="3" xfId="0" applyFont="1" applyFill="1" applyBorder="1" applyAlignment="1">
      <alignment horizontal="center"/>
    </xf>
    <xf numFmtId="49" fontId="10" fillId="3" borderId="4" xfId="0" applyNumberFormat="1" applyFont="1" applyFill="1" applyBorder="1" applyAlignment="1" applyProtection="1">
      <alignment horizontal="center" wrapText="1"/>
      <protection locked="0" hidden="1"/>
    </xf>
    <xf numFmtId="49" fontId="10" fillId="3" borderId="12" xfId="0" applyNumberFormat="1" applyFont="1" applyFill="1" applyBorder="1" applyAlignment="1">
      <alignment horizontal="center" wrapText="1"/>
    </xf>
    <xf numFmtId="49" fontId="12" fillId="3" borderId="3" xfId="0" applyNumberFormat="1" applyFont="1" applyFill="1" applyBorder="1" applyAlignment="1" applyProtection="1">
      <alignment horizontal="center" wrapText="1"/>
      <protection locked="0" hidden="1"/>
    </xf>
    <xf numFmtId="0" fontId="9" fillId="3" borderId="4" xfId="0" applyFont="1" applyFill="1" applyBorder="1" applyAlignment="1">
      <alignment horizontal="center"/>
    </xf>
    <xf numFmtId="49" fontId="9" fillId="3" borderId="3" xfId="0" applyNumberFormat="1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52" fillId="3" borderId="6" xfId="0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/>
    <xf numFmtId="0" fontId="52" fillId="3" borderId="6" xfId="0" quotePrefix="1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3" fillId="3" borderId="6" xfId="0" applyFont="1" applyFill="1" applyBorder="1" applyAlignment="1">
      <alignment horizontal="right"/>
    </xf>
    <xf numFmtId="0" fontId="10" fillId="3" borderId="6" xfId="0" quotePrefix="1" applyFont="1" applyFill="1" applyBorder="1" applyAlignment="1">
      <alignment horizontal="right"/>
    </xf>
    <xf numFmtId="0" fontId="5" fillId="3" borderId="6" xfId="0" applyFont="1" applyFill="1" applyBorder="1"/>
    <xf numFmtId="0" fontId="4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right"/>
    </xf>
    <xf numFmtId="0" fontId="54" fillId="3" borderId="6" xfId="0" applyFont="1" applyFill="1" applyBorder="1"/>
    <xf numFmtId="0" fontId="3" fillId="3" borderId="6" xfId="0" applyFont="1" applyFill="1" applyBorder="1"/>
    <xf numFmtId="0" fontId="0" fillId="3" borderId="6" xfId="0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3" fillId="0" borderId="6" xfId="0" quotePrefix="1" applyFont="1" applyBorder="1" applyAlignment="1">
      <alignment horizontal="right"/>
    </xf>
    <xf numFmtId="0" fontId="51" fillId="3" borderId="6" xfId="0" applyFont="1" applyFill="1" applyBorder="1" applyAlignment="1">
      <alignment horizontal="right"/>
    </xf>
    <xf numFmtId="0" fontId="48" fillId="3" borderId="6" xfId="0" applyFont="1" applyFill="1" applyBorder="1" applyAlignment="1">
      <alignment horizontal="left" wrapText="1"/>
    </xf>
    <xf numFmtId="0" fontId="52" fillId="3" borderId="3" xfId="0" quotePrefix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164" fontId="27" fillId="2" borderId="2" xfId="0" applyNumberFormat="1" applyFont="1" applyFill="1" applyBorder="1" applyAlignment="1">
      <alignment horizontal="right" vertical="center"/>
    </xf>
    <xf numFmtId="0" fontId="25" fillId="3" borderId="14" xfId="0" quotePrefix="1" applyFont="1" applyFill="1" applyBorder="1" applyAlignment="1">
      <alignment horizontal="center"/>
    </xf>
    <xf numFmtId="0" fontId="26" fillId="2" borderId="50" xfId="0" quotePrefix="1" applyFont="1" applyFill="1" applyBorder="1" applyAlignment="1">
      <alignment horizontal="center" vertical="center"/>
    </xf>
    <xf numFmtId="0" fontId="26" fillId="2" borderId="51" xfId="0" quotePrefix="1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0" fontId="0" fillId="0" borderId="0" xfId="0"/>
    <xf numFmtId="165" fontId="16" fillId="3" borderId="0" xfId="0" applyNumberFormat="1" applyFont="1" applyFill="1" applyAlignment="1">
      <alignment horizontal="right"/>
    </xf>
    <xf numFmtId="0" fontId="0" fillId="3" borderId="0" xfId="0" applyFill="1" applyAlignment="1">
      <alignment horizontal="right"/>
    </xf>
    <xf numFmtId="0" fontId="16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40" fillId="3" borderId="0" xfId="0" applyFont="1" applyFill="1" applyAlignment="1">
      <alignment horizontal="center" vertical="center" wrapText="1"/>
    </xf>
    <xf numFmtId="0" fontId="27" fillId="0" borderId="0" xfId="0" applyFont="1" applyAlignment="1">
      <alignment wrapText="1"/>
    </xf>
    <xf numFmtId="0" fontId="27" fillId="0" borderId="0" xfId="0" applyFont="1"/>
    <xf numFmtId="0" fontId="27" fillId="0" borderId="0" xfId="0" applyFont="1" applyAlignment="1">
      <alignment vertical="top" wrapText="1"/>
    </xf>
    <xf numFmtId="0" fontId="27" fillId="0" borderId="0" xfId="0" applyFont="1" applyAlignment="1">
      <alignment vertical="top"/>
    </xf>
    <xf numFmtId="0" fontId="16" fillId="3" borderId="0" xfId="0" applyFont="1" applyFill="1" applyAlignment="1">
      <alignment horizontal="right" vertical="top"/>
    </xf>
    <xf numFmtId="0" fontId="18" fillId="0" borderId="0" xfId="0" applyFont="1"/>
    <xf numFmtId="165" fontId="12" fillId="3" borderId="10" xfId="0" applyNumberFormat="1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61" fillId="2" borderId="0" xfId="0" applyFont="1" applyFill="1" applyAlignment="1">
      <alignment horizontal="center" vertical="center" wrapText="1"/>
    </xf>
    <xf numFmtId="0" fontId="62" fillId="0" borderId="0" xfId="0" applyFont="1"/>
    <xf numFmtId="0" fontId="13" fillId="2" borderId="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65" fontId="12" fillId="3" borderId="37" xfId="0" applyNumberFormat="1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164" fontId="18" fillId="3" borderId="0" xfId="0" applyNumberFormat="1" applyFont="1" applyFill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 wrapText="1"/>
    </xf>
    <xf numFmtId="0" fontId="24" fillId="3" borderId="0" xfId="0" applyFont="1" applyFill="1" applyAlignment="1">
      <alignment horizontal="center" wrapText="1"/>
    </xf>
    <xf numFmtId="0" fontId="23" fillId="3" borderId="0" xfId="0" applyFont="1" applyFill="1"/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3" xr:uid="{00000000-0005-0000-0000-000004000000}"/>
    <cellStyle name="Обычный 7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01"/>
  <sheetViews>
    <sheetView view="pageBreakPreview" zoomScale="87" zoomScaleNormal="100" zoomScaleSheetLayoutView="87" zoomScalePageLayoutView="80" workbookViewId="0">
      <selection activeCell="O468" sqref="O468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1" customWidth="1"/>
    <col min="5" max="5" width="6.42578125" style="14" customWidth="1"/>
    <col min="6" max="6" width="15.140625" style="24" customWidth="1"/>
    <col min="7" max="9" width="17" style="13" customWidth="1"/>
    <col min="10" max="11" width="15.140625" style="24" customWidth="1"/>
    <col min="12" max="12" width="15.5703125" style="13" customWidth="1"/>
    <col min="13" max="13" width="15.28515625" style="37" customWidth="1"/>
    <col min="14" max="15" width="8.85546875" style="37"/>
    <col min="16" max="16" width="13.28515625" style="37" customWidth="1"/>
    <col min="17" max="16384" width="8.85546875" style="37"/>
  </cols>
  <sheetData>
    <row r="1" spans="1:17" ht="80.25" customHeight="1" x14ac:dyDescent="0.25">
      <c r="A1" s="33"/>
      <c r="B1" s="36"/>
      <c r="C1" s="36"/>
      <c r="D1" s="20"/>
      <c r="E1" s="33"/>
      <c r="F1" s="194"/>
      <c r="K1" s="622" t="s">
        <v>838</v>
      </c>
      <c r="L1" s="623"/>
      <c r="M1" s="623"/>
    </row>
    <row r="2" spans="1:17" ht="15.75" x14ac:dyDescent="0.25">
      <c r="B2" s="10"/>
      <c r="C2" s="10"/>
      <c r="F2" s="619"/>
      <c r="G2" s="620"/>
      <c r="H2" s="620"/>
      <c r="I2" s="620"/>
      <c r="J2" s="620"/>
      <c r="K2" s="620"/>
      <c r="L2" s="620"/>
      <c r="M2" s="618"/>
    </row>
    <row r="3" spans="1:17" ht="15.75" x14ac:dyDescent="0.25">
      <c r="B3" s="10"/>
      <c r="C3" s="10"/>
      <c r="F3" s="203"/>
      <c r="G3" s="621"/>
      <c r="H3" s="621"/>
      <c r="I3" s="621"/>
      <c r="J3" s="621"/>
      <c r="K3" s="621"/>
      <c r="L3" s="621"/>
      <c r="M3" s="318"/>
    </row>
    <row r="4" spans="1:17" ht="15.75" x14ac:dyDescent="0.25">
      <c r="B4" s="10"/>
      <c r="C4" s="10"/>
      <c r="F4" s="203"/>
      <c r="G4" s="102"/>
      <c r="H4" s="102"/>
      <c r="I4" s="102"/>
      <c r="J4" s="102"/>
      <c r="K4" s="102"/>
      <c r="L4" s="102"/>
    </row>
    <row r="5" spans="1:17" ht="15.75" x14ac:dyDescent="0.25">
      <c r="B5" s="10"/>
      <c r="C5" s="10"/>
      <c r="F5" s="203"/>
      <c r="G5" s="102"/>
      <c r="H5" s="102"/>
      <c r="I5" s="102"/>
      <c r="J5" s="102"/>
      <c r="K5" s="102"/>
      <c r="L5" s="102"/>
    </row>
    <row r="6" spans="1:17" ht="15.75" x14ac:dyDescent="0.25">
      <c r="B6" s="10"/>
      <c r="C6" s="10"/>
      <c r="F6" s="203"/>
      <c r="G6" s="102"/>
      <c r="H6" s="102"/>
      <c r="I6" s="102"/>
      <c r="J6" s="102"/>
      <c r="K6" s="102"/>
      <c r="L6" s="102"/>
    </row>
    <row r="7" spans="1:17" ht="116.45" customHeight="1" x14ac:dyDescent="0.2">
      <c r="A7" s="615" t="s">
        <v>682</v>
      </c>
      <c r="B7" s="616"/>
      <c r="C7" s="616"/>
      <c r="D7" s="616"/>
      <c r="E7" s="616"/>
      <c r="F7" s="617"/>
      <c r="G7" s="617"/>
      <c r="H7" s="617"/>
      <c r="I7" s="617"/>
      <c r="J7" s="617"/>
      <c r="K7" s="617"/>
      <c r="L7" s="617"/>
      <c r="M7" s="618"/>
    </row>
    <row r="8" spans="1:17" ht="22.9" customHeight="1" thickBot="1" x14ac:dyDescent="0.3">
      <c r="M8" s="103" t="s">
        <v>837</v>
      </c>
    </row>
    <row r="9" spans="1:17" ht="88.9" customHeight="1" thickBot="1" x14ac:dyDescent="0.25">
      <c r="A9" s="204" t="s">
        <v>73</v>
      </c>
      <c r="B9" s="205" t="s">
        <v>0</v>
      </c>
      <c r="C9" s="131" t="s">
        <v>20</v>
      </c>
      <c r="D9" s="239" t="s">
        <v>1</v>
      </c>
      <c r="E9" s="237" t="s">
        <v>63</v>
      </c>
      <c r="F9" s="487" t="s">
        <v>832</v>
      </c>
      <c r="G9" s="488" t="s">
        <v>630</v>
      </c>
      <c r="H9" s="134" t="s">
        <v>833</v>
      </c>
      <c r="I9" s="488" t="s">
        <v>630</v>
      </c>
      <c r="J9" s="516" t="s">
        <v>834</v>
      </c>
      <c r="K9" s="134" t="s">
        <v>835</v>
      </c>
      <c r="L9" s="488" t="s">
        <v>630</v>
      </c>
      <c r="M9" s="517" t="s">
        <v>835</v>
      </c>
      <c r="P9" s="76"/>
    </row>
    <row r="10" spans="1:17" thickBot="1" x14ac:dyDescent="0.3">
      <c r="A10" s="135">
        <v>1</v>
      </c>
      <c r="B10" s="166">
        <v>2</v>
      </c>
      <c r="C10" s="167">
        <v>3</v>
      </c>
      <c r="D10" s="122">
        <v>4</v>
      </c>
      <c r="E10" s="238">
        <v>5</v>
      </c>
      <c r="F10" s="128">
        <v>6</v>
      </c>
      <c r="G10" s="122">
        <v>7</v>
      </c>
      <c r="H10" s="128">
        <v>8</v>
      </c>
      <c r="I10" s="122">
        <v>9</v>
      </c>
      <c r="J10" s="128">
        <v>10</v>
      </c>
      <c r="K10" s="510">
        <v>11</v>
      </c>
      <c r="L10" s="249">
        <v>12</v>
      </c>
      <c r="M10" s="128">
        <v>13</v>
      </c>
    </row>
    <row r="11" spans="1:17" s="106" customFormat="1" x14ac:dyDescent="0.25">
      <c r="A11" s="274" t="s">
        <v>25</v>
      </c>
      <c r="B11" s="195" t="s">
        <v>29</v>
      </c>
      <c r="C11" s="234"/>
      <c r="D11" s="567"/>
      <c r="E11" s="587"/>
      <c r="F11" s="132">
        <f>F12+F19+F43+F81+F117+F122</f>
        <v>458878.70000000007</v>
      </c>
      <c r="G11" s="132">
        <f t="shared" ref="G11:L11" si="0">G12+G19+G43+G81+G117+G122</f>
        <v>6400.6</v>
      </c>
      <c r="H11" s="132">
        <f t="shared" si="0"/>
        <v>559750.70000000007</v>
      </c>
      <c r="I11" s="132">
        <f t="shared" si="0"/>
        <v>6400.6</v>
      </c>
      <c r="J11" s="501">
        <f t="shared" si="0"/>
        <v>424621.2</v>
      </c>
      <c r="K11" s="512">
        <f>J11/H11</f>
        <v>0.75858985080322361</v>
      </c>
      <c r="L11" s="508">
        <f t="shared" si="0"/>
        <v>6294</v>
      </c>
      <c r="M11" s="519">
        <f>L11/I11</f>
        <v>0.98334531137705838</v>
      </c>
      <c r="N11" s="116"/>
      <c r="P11" s="116"/>
      <c r="Q11" s="116"/>
    </row>
    <row r="12" spans="1:17" s="106" customFormat="1" ht="31.5" x14ac:dyDescent="0.25">
      <c r="A12" s="268" t="s">
        <v>10</v>
      </c>
      <c r="B12" s="148" t="s">
        <v>29</v>
      </c>
      <c r="C12" s="4" t="s">
        <v>30</v>
      </c>
      <c r="D12" s="458"/>
      <c r="E12" s="221"/>
      <c r="F12" s="123">
        <f>F13</f>
        <v>3713.4</v>
      </c>
      <c r="G12" s="227"/>
      <c r="H12" s="123">
        <f t="shared" ref="H12:H17" si="1">H13</f>
        <v>3713.4</v>
      </c>
      <c r="I12" s="227"/>
      <c r="J12" s="313">
        <f>J13</f>
        <v>3542.1</v>
      </c>
      <c r="K12" s="511">
        <f t="shared" ref="K12:K75" si="2">J12/H12</f>
        <v>0.95386976894490216</v>
      </c>
      <c r="L12" s="227"/>
      <c r="M12" s="511"/>
      <c r="N12" s="116"/>
      <c r="P12" s="116"/>
      <c r="Q12" s="116"/>
    </row>
    <row r="13" spans="1:17" s="106" customFormat="1" x14ac:dyDescent="0.25">
      <c r="A13" s="199" t="s">
        <v>187</v>
      </c>
      <c r="B13" s="148" t="s">
        <v>29</v>
      </c>
      <c r="C13" s="4" t="s">
        <v>30</v>
      </c>
      <c r="D13" s="568" t="s">
        <v>113</v>
      </c>
      <c r="E13" s="221"/>
      <c r="F13" s="123">
        <f>F14</f>
        <v>3713.4</v>
      </c>
      <c r="G13" s="227"/>
      <c r="H13" s="123">
        <f t="shared" si="1"/>
        <v>3713.4</v>
      </c>
      <c r="I13" s="227"/>
      <c r="J13" s="313">
        <f>J14</f>
        <v>3542.1</v>
      </c>
      <c r="K13" s="511">
        <f t="shared" si="2"/>
        <v>0.95386976894490216</v>
      </c>
      <c r="L13" s="227"/>
      <c r="M13" s="511"/>
      <c r="N13" s="116"/>
      <c r="P13" s="116"/>
      <c r="Q13" s="116"/>
    </row>
    <row r="14" spans="1:17" s="106" customFormat="1" x14ac:dyDescent="0.25">
      <c r="A14" s="199" t="s">
        <v>191</v>
      </c>
      <c r="B14" s="148" t="s">
        <v>29</v>
      </c>
      <c r="C14" s="4" t="s">
        <v>30</v>
      </c>
      <c r="D14" s="568" t="s">
        <v>192</v>
      </c>
      <c r="E14" s="221"/>
      <c r="F14" s="123">
        <f>F15</f>
        <v>3713.4</v>
      </c>
      <c r="G14" s="227"/>
      <c r="H14" s="123">
        <f t="shared" si="1"/>
        <v>3713.4</v>
      </c>
      <c r="I14" s="227"/>
      <c r="J14" s="313">
        <f>J15</f>
        <v>3542.1</v>
      </c>
      <c r="K14" s="511">
        <f t="shared" si="2"/>
        <v>0.95386976894490216</v>
      </c>
      <c r="L14" s="227"/>
      <c r="M14" s="511"/>
      <c r="N14" s="116"/>
      <c r="P14" s="116"/>
      <c r="Q14" s="116"/>
    </row>
    <row r="15" spans="1:17" s="106" customFormat="1" ht="31.5" x14ac:dyDescent="0.25">
      <c r="A15" s="199" t="s">
        <v>193</v>
      </c>
      <c r="B15" s="148" t="s">
        <v>29</v>
      </c>
      <c r="C15" s="4" t="s">
        <v>30</v>
      </c>
      <c r="D15" s="568" t="s">
        <v>194</v>
      </c>
      <c r="E15" s="221"/>
      <c r="F15" s="123">
        <f>F16</f>
        <v>3713.4</v>
      </c>
      <c r="G15" s="227"/>
      <c r="H15" s="123">
        <f t="shared" si="1"/>
        <v>3713.4</v>
      </c>
      <c r="I15" s="227"/>
      <c r="J15" s="313">
        <f>J16</f>
        <v>3542.1</v>
      </c>
      <c r="K15" s="511">
        <f t="shared" si="2"/>
        <v>0.95386976894490216</v>
      </c>
      <c r="L15" s="227"/>
      <c r="M15" s="511"/>
      <c r="N15" s="116"/>
      <c r="P15" s="116"/>
      <c r="Q15" s="116"/>
    </row>
    <row r="16" spans="1:17" s="106" customFormat="1" x14ac:dyDescent="0.25">
      <c r="A16" s="199" t="s">
        <v>195</v>
      </c>
      <c r="B16" s="148" t="s">
        <v>29</v>
      </c>
      <c r="C16" s="4" t="s">
        <v>30</v>
      </c>
      <c r="D16" s="568" t="s">
        <v>196</v>
      </c>
      <c r="E16" s="221"/>
      <c r="F16" s="123">
        <f>'ведом. 2024-2026'!AD14</f>
        <v>3713.4</v>
      </c>
      <c r="G16" s="123"/>
      <c r="H16" s="123">
        <f t="shared" si="1"/>
        <v>3713.4</v>
      </c>
      <c r="I16" s="227"/>
      <c r="J16" s="313">
        <f>'ведом. 2024-2026'!AF14</f>
        <v>3542.1</v>
      </c>
      <c r="K16" s="511">
        <f t="shared" si="2"/>
        <v>0.95386976894490216</v>
      </c>
      <c r="L16" s="227"/>
      <c r="M16" s="511"/>
      <c r="N16" s="116"/>
      <c r="P16" s="116"/>
      <c r="Q16" s="116"/>
    </row>
    <row r="17" spans="1:17" s="106" customFormat="1" ht="47.25" x14ac:dyDescent="0.25">
      <c r="A17" s="268" t="s">
        <v>41</v>
      </c>
      <c r="B17" s="148" t="s">
        <v>29</v>
      </c>
      <c r="C17" s="4" t="s">
        <v>30</v>
      </c>
      <c r="D17" s="568" t="s">
        <v>196</v>
      </c>
      <c r="E17" s="221">
        <v>100</v>
      </c>
      <c r="F17" s="123">
        <f>F18</f>
        <v>3713.4</v>
      </c>
      <c r="G17" s="227"/>
      <c r="H17" s="123">
        <f t="shared" si="1"/>
        <v>3713.4</v>
      </c>
      <c r="I17" s="227"/>
      <c r="J17" s="313">
        <f>J18</f>
        <v>3542.1</v>
      </c>
      <c r="K17" s="511">
        <f t="shared" si="2"/>
        <v>0.95386976894490216</v>
      </c>
      <c r="L17" s="227"/>
      <c r="M17" s="511"/>
      <c r="N17" s="116"/>
      <c r="P17" s="116"/>
      <c r="Q17" s="116"/>
    </row>
    <row r="18" spans="1:17" s="106" customFormat="1" x14ac:dyDescent="0.25">
      <c r="A18" s="268" t="s">
        <v>97</v>
      </c>
      <c r="B18" s="148" t="s">
        <v>29</v>
      </c>
      <c r="C18" s="4" t="s">
        <v>30</v>
      </c>
      <c r="D18" s="568" t="s">
        <v>196</v>
      </c>
      <c r="E18" s="221">
        <v>120</v>
      </c>
      <c r="F18" s="123">
        <f>'ведом. 2024-2026'!AD16</f>
        <v>3713.4</v>
      </c>
      <c r="G18" s="227"/>
      <c r="H18" s="123">
        <f>'ведом. 2024-2026'!AE16</f>
        <v>3713.4</v>
      </c>
      <c r="I18" s="227"/>
      <c r="J18" s="313">
        <f>'ведом. 2024-2026'!AF16</f>
        <v>3542.1</v>
      </c>
      <c r="K18" s="511">
        <f t="shared" si="2"/>
        <v>0.95386976894490216</v>
      </c>
      <c r="L18" s="227"/>
      <c r="M18" s="511"/>
      <c r="N18" s="116"/>
      <c r="P18" s="116"/>
      <c r="Q18" s="116"/>
    </row>
    <row r="19" spans="1:17" s="106" customFormat="1" ht="31.5" x14ac:dyDescent="0.25">
      <c r="A19" s="268" t="s">
        <v>28</v>
      </c>
      <c r="B19" s="148" t="s">
        <v>29</v>
      </c>
      <c r="C19" s="4" t="s">
        <v>7</v>
      </c>
      <c r="D19" s="569"/>
      <c r="E19" s="221"/>
      <c r="F19" s="123">
        <f>F26+F20</f>
        <v>18494.8</v>
      </c>
      <c r="G19" s="123"/>
      <c r="H19" s="123">
        <f>H26+H20</f>
        <v>18494.8</v>
      </c>
      <c r="I19" s="123"/>
      <c r="J19" s="313">
        <f t="shared" ref="J19" si="3">J26+J20</f>
        <v>18417.2</v>
      </c>
      <c r="K19" s="511">
        <f t="shared" si="2"/>
        <v>0.99580422605272845</v>
      </c>
      <c r="L19" s="227"/>
      <c r="M19" s="511"/>
      <c r="N19" s="116"/>
      <c r="P19" s="116"/>
      <c r="Q19" s="116"/>
    </row>
    <row r="20" spans="1:17" s="106" customFormat="1" x14ac:dyDescent="0.25">
      <c r="A20" s="354" t="s">
        <v>187</v>
      </c>
      <c r="B20" s="349" t="s">
        <v>29</v>
      </c>
      <c r="C20" s="350" t="s">
        <v>7</v>
      </c>
      <c r="D20" s="570" t="s">
        <v>113</v>
      </c>
      <c r="E20" s="588"/>
      <c r="F20" s="123">
        <f>F21</f>
        <v>6.6</v>
      </c>
      <c r="G20" s="123"/>
      <c r="H20" s="123">
        <f>H21</f>
        <v>6.6</v>
      </c>
      <c r="I20" s="123"/>
      <c r="J20" s="313">
        <f t="shared" ref="J20:J24" si="4">J21</f>
        <v>6.6</v>
      </c>
      <c r="K20" s="511">
        <f t="shared" si="2"/>
        <v>1</v>
      </c>
      <c r="L20" s="227"/>
      <c r="M20" s="511"/>
      <c r="N20" s="116"/>
      <c r="P20" s="116"/>
      <c r="Q20" s="116"/>
    </row>
    <row r="21" spans="1:17" s="106" customFormat="1" x14ac:dyDescent="0.25">
      <c r="A21" s="354" t="s">
        <v>191</v>
      </c>
      <c r="B21" s="349" t="s">
        <v>29</v>
      </c>
      <c r="C21" s="350" t="s">
        <v>7</v>
      </c>
      <c r="D21" s="570" t="s">
        <v>192</v>
      </c>
      <c r="E21" s="588"/>
      <c r="F21" s="123">
        <f>F22</f>
        <v>6.6</v>
      </c>
      <c r="G21" s="123"/>
      <c r="H21" s="123">
        <f>H22</f>
        <v>6.6</v>
      </c>
      <c r="I21" s="123"/>
      <c r="J21" s="313">
        <f t="shared" si="4"/>
        <v>6.6</v>
      </c>
      <c r="K21" s="511">
        <f t="shared" si="2"/>
        <v>1</v>
      </c>
      <c r="L21" s="227"/>
      <c r="M21" s="511"/>
      <c r="N21" s="116"/>
      <c r="P21" s="116"/>
      <c r="Q21" s="116"/>
    </row>
    <row r="22" spans="1:17" s="106" customFormat="1" ht="31.5" x14ac:dyDescent="0.25">
      <c r="A22" s="347" t="s">
        <v>572</v>
      </c>
      <c r="B22" s="349" t="s">
        <v>29</v>
      </c>
      <c r="C22" s="350" t="s">
        <v>7</v>
      </c>
      <c r="D22" s="571" t="s">
        <v>573</v>
      </c>
      <c r="E22" s="427"/>
      <c r="F22" s="123">
        <f>F23</f>
        <v>6.6</v>
      </c>
      <c r="G22" s="123"/>
      <c r="H22" s="123">
        <f>H23</f>
        <v>6.6</v>
      </c>
      <c r="I22" s="123"/>
      <c r="J22" s="313">
        <f t="shared" si="4"/>
        <v>6.6</v>
      </c>
      <c r="K22" s="511">
        <f t="shared" si="2"/>
        <v>1</v>
      </c>
      <c r="L22" s="227"/>
      <c r="M22" s="511"/>
      <c r="N22" s="116"/>
      <c r="P22" s="116"/>
      <c r="Q22" s="116"/>
    </row>
    <row r="23" spans="1:17" s="106" customFormat="1" ht="78.75" x14ac:dyDescent="0.25">
      <c r="A23" s="347" t="s">
        <v>432</v>
      </c>
      <c r="B23" s="349" t="s">
        <v>29</v>
      </c>
      <c r="C23" s="350" t="s">
        <v>7</v>
      </c>
      <c r="D23" s="570" t="s">
        <v>574</v>
      </c>
      <c r="E23" s="427"/>
      <c r="F23" s="123">
        <f>F24</f>
        <v>6.6</v>
      </c>
      <c r="G23" s="123"/>
      <c r="H23" s="123">
        <f>H24</f>
        <v>6.6</v>
      </c>
      <c r="I23" s="123"/>
      <c r="J23" s="313">
        <f t="shared" si="4"/>
        <v>6.6</v>
      </c>
      <c r="K23" s="511">
        <f t="shared" si="2"/>
        <v>1</v>
      </c>
      <c r="L23" s="227"/>
      <c r="M23" s="511"/>
      <c r="N23" s="116"/>
      <c r="P23" s="116"/>
      <c r="Q23" s="116"/>
    </row>
    <row r="24" spans="1:17" s="106" customFormat="1" x14ac:dyDescent="0.25">
      <c r="A24" s="347" t="s">
        <v>121</v>
      </c>
      <c r="B24" s="349" t="s">
        <v>29</v>
      </c>
      <c r="C24" s="350" t="s">
        <v>7</v>
      </c>
      <c r="D24" s="570" t="s">
        <v>574</v>
      </c>
      <c r="E24" s="427">
        <v>200</v>
      </c>
      <c r="F24" s="123">
        <f>F25</f>
        <v>6.6</v>
      </c>
      <c r="G24" s="123"/>
      <c r="H24" s="123">
        <f>H25</f>
        <v>6.6</v>
      </c>
      <c r="I24" s="123"/>
      <c r="J24" s="313">
        <f t="shared" si="4"/>
        <v>6.6</v>
      </c>
      <c r="K24" s="511">
        <f t="shared" si="2"/>
        <v>1</v>
      </c>
      <c r="L24" s="227"/>
      <c r="M24" s="511"/>
      <c r="N24" s="116"/>
      <c r="P24" s="116"/>
      <c r="Q24" s="116"/>
    </row>
    <row r="25" spans="1:17" s="106" customFormat="1" ht="31.5" x14ac:dyDescent="0.25">
      <c r="A25" s="347" t="s">
        <v>52</v>
      </c>
      <c r="B25" s="349" t="s">
        <v>29</v>
      </c>
      <c r="C25" s="350" t="s">
        <v>7</v>
      </c>
      <c r="D25" s="570" t="s">
        <v>574</v>
      </c>
      <c r="E25" s="427">
        <v>240</v>
      </c>
      <c r="F25" s="123">
        <f>'ведом. 2024-2026'!AD500</f>
        <v>6.6</v>
      </c>
      <c r="G25" s="227"/>
      <c r="H25" s="123">
        <f>'ведом. 2024-2026'!AE500</f>
        <v>6.6</v>
      </c>
      <c r="I25" s="227"/>
      <c r="J25" s="313">
        <f>'ведом. 2024-2026'!AF500</f>
        <v>6.6</v>
      </c>
      <c r="K25" s="511">
        <f t="shared" si="2"/>
        <v>1</v>
      </c>
      <c r="L25" s="227"/>
      <c r="M25" s="511"/>
      <c r="N25" s="116"/>
      <c r="P25" s="116"/>
      <c r="Q25" s="116"/>
    </row>
    <row r="26" spans="1:17" s="106" customFormat="1" ht="31.5" x14ac:dyDescent="0.25">
      <c r="A26" s="199" t="s">
        <v>282</v>
      </c>
      <c r="B26" s="148" t="s">
        <v>29</v>
      </c>
      <c r="C26" s="4" t="s">
        <v>7</v>
      </c>
      <c r="D26" s="568" t="s">
        <v>100</v>
      </c>
      <c r="E26" s="221"/>
      <c r="F26" s="123">
        <f>F27+F30+F33</f>
        <v>18488.2</v>
      </c>
      <c r="G26" s="227"/>
      <c r="H26" s="123">
        <f>H27+H30+H33</f>
        <v>18488.2</v>
      </c>
      <c r="I26" s="227"/>
      <c r="J26" s="313">
        <f>J27+J30+J33</f>
        <v>18410.600000000002</v>
      </c>
      <c r="K26" s="511">
        <f t="shared" si="2"/>
        <v>0.99580272822665272</v>
      </c>
      <c r="L26" s="227"/>
      <c r="M26" s="511"/>
      <c r="N26" s="116"/>
      <c r="P26" s="116"/>
      <c r="Q26" s="116"/>
    </row>
    <row r="27" spans="1:17" s="106" customFormat="1" x14ac:dyDescent="0.25">
      <c r="A27" s="273" t="s">
        <v>289</v>
      </c>
      <c r="B27" s="148" t="s">
        <v>29</v>
      </c>
      <c r="C27" s="4" t="s">
        <v>7</v>
      </c>
      <c r="D27" s="568" t="s">
        <v>292</v>
      </c>
      <c r="E27" s="220"/>
      <c r="F27" s="123">
        <f>F28</f>
        <v>3213.4</v>
      </c>
      <c r="G27" s="227"/>
      <c r="H27" s="123">
        <f>H28</f>
        <v>3213.4</v>
      </c>
      <c r="I27" s="227"/>
      <c r="J27" s="313">
        <f>J28</f>
        <v>3212.8</v>
      </c>
      <c r="K27" s="511">
        <f t="shared" si="2"/>
        <v>0.99981328188211871</v>
      </c>
      <c r="L27" s="227"/>
      <c r="M27" s="511"/>
      <c r="N27" s="116"/>
      <c r="P27" s="116"/>
      <c r="Q27" s="116"/>
    </row>
    <row r="28" spans="1:17" s="106" customFormat="1" ht="47.25" x14ac:dyDescent="0.25">
      <c r="A28" s="268" t="s">
        <v>41</v>
      </c>
      <c r="B28" s="148" t="s">
        <v>29</v>
      </c>
      <c r="C28" s="4" t="s">
        <v>7</v>
      </c>
      <c r="D28" s="568" t="s">
        <v>292</v>
      </c>
      <c r="E28" s="221">
        <v>100</v>
      </c>
      <c r="F28" s="123">
        <f>F29</f>
        <v>3213.4</v>
      </c>
      <c r="G28" s="227"/>
      <c r="H28" s="123">
        <f>H29</f>
        <v>3213.4</v>
      </c>
      <c r="I28" s="227"/>
      <c r="J28" s="313">
        <f>J29</f>
        <v>3212.8</v>
      </c>
      <c r="K28" s="511">
        <f t="shared" si="2"/>
        <v>0.99981328188211871</v>
      </c>
      <c r="L28" s="227"/>
      <c r="M28" s="511"/>
      <c r="N28" s="116"/>
      <c r="P28" s="116"/>
      <c r="Q28" s="116"/>
    </row>
    <row r="29" spans="1:17" s="106" customFormat="1" x14ac:dyDescent="0.25">
      <c r="A29" s="268" t="s">
        <v>97</v>
      </c>
      <c r="B29" s="148" t="s">
        <v>29</v>
      </c>
      <c r="C29" s="4" t="s">
        <v>7</v>
      </c>
      <c r="D29" s="568" t="s">
        <v>292</v>
      </c>
      <c r="E29" s="220">
        <v>120</v>
      </c>
      <c r="F29" s="123">
        <f>'ведом. 2024-2026'!AD504</f>
        <v>3213.4</v>
      </c>
      <c r="G29" s="227"/>
      <c r="H29" s="123">
        <f>'ведом. 2024-2026'!AE504</f>
        <v>3213.4</v>
      </c>
      <c r="I29" s="227"/>
      <c r="J29" s="313">
        <f>'ведом. 2024-2026'!AF504</f>
        <v>3212.8</v>
      </c>
      <c r="K29" s="511">
        <f t="shared" si="2"/>
        <v>0.99981328188211871</v>
      </c>
      <c r="L29" s="227"/>
      <c r="M29" s="511"/>
      <c r="N29" s="116"/>
      <c r="P29" s="116"/>
      <c r="Q29" s="116"/>
    </row>
    <row r="30" spans="1:17" s="106" customFormat="1" x14ac:dyDescent="0.25">
      <c r="A30" s="268" t="s">
        <v>341</v>
      </c>
      <c r="B30" s="148" t="s">
        <v>29</v>
      </c>
      <c r="C30" s="4" t="s">
        <v>7</v>
      </c>
      <c r="D30" s="568" t="s">
        <v>293</v>
      </c>
      <c r="E30" s="220"/>
      <c r="F30" s="123">
        <f>F32</f>
        <v>2324.9</v>
      </c>
      <c r="G30" s="227"/>
      <c r="H30" s="123">
        <f>H32</f>
        <v>2324.9</v>
      </c>
      <c r="I30" s="227"/>
      <c r="J30" s="313">
        <f>J32</f>
        <v>2323.9</v>
      </c>
      <c r="K30" s="511">
        <f t="shared" si="2"/>
        <v>0.99956987397307406</v>
      </c>
      <c r="L30" s="227"/>
      <c r="M30" s="511"/>
      <c r="N30" s="116"/>
      <c r="P30" s="116"/>
      <c r="Q30" s="116"/>
    </row>
    <row r="31" spans="1:17" s="106" customFormat="1" ht="47.25" x14ac:dyDescent="0.25">
      <c r="A31" s="268" t="s">
        <v>41</v>
      </c>
      <c r="B31" s="148" t="s">
        <v>29</v>
      </c>
      <c r="C31" s="4" t="s">
        <v>7</v>
      </c>
      <c r="D31" s="568" t="s">
        <v>293</v>
      </c>
      <c r="E31" s="221">
        <v>100</v>
      </c>
      <c r="F31" s="123">
        <f>F32</f>
        <v>2324.9</v>
      </c>
      <c r="G31" s="227"/>
      <c r="H31" s="123">
        <f>H32</f>
        <v>2324.9</v>
      </c>
      <c r="I31" s="227"/>
      <c r="J31" s="313">
        <f>J32</f>
        <v>2323.9</v>
      </c>
      <c r="K31" s="511">
        <f t="shared" si="2"/>
        <v>0.99956987397307406</v>
      </c>
      <c r="L31" s="227"/>
      <c r="M31" s="511"/>
      <c r="N31" s="116"/>
      <c r="P31" s="116"/>
      <c r="Q31" s="116"/>
    </row>
    <row r="32" spans="1:17" s="106" customFormat="1" x14ac:dyDescent="0.25">
      <c r="A32" s="268" t="s">
        <v>97</v>
      </c>
      <c r="B32" s="148" t="s">
        <v>29</v>
      </c>
      <c r="C32" s="4" t="s">
        <v>7</v>
      </c>
      <c r="D32" s="568" t="s">
        <v>293</v>
      </c>
      <c r="E32" s="220">
        <v>120</v>
      </c>
      <c r="F32" s="123">
        <f>'ведом. 2024-2026'!AD507</f>
        <v>2324.9</v>
      </c>
      <c r="G32" s="227"/>
      <c r="H32" s="123">
        <f>'ведом. 2024-2026'!AE507</f>
        <v>2324.9</v>
      </c>
      <c r="I32" s="227"/>
      <c r="J32" s="313">
        <f>'ведом. 2024-2026'!AF507</f>
        <v>2323.9</v>
      </c>
      <c r="K32" s="511">
        <f t="shared" si="2"/>
        <v>0.99956987397307406</v>
      </c>
      <c r="L32" s="227"/>
      <c r="M32" s="511"/>
      <c r="N32" s="116"/>
      <c r="P32" s="116"/>
      <c r="Q32" s="116"/>
    </row>
    <row r="33" spans="1:17" s="106" customFormat="1" x14ac:dyDescent="0.25">
      <c r="A33" s="200" t="s">
        <v>290</v>
      </c>
      <c r="B33" s="148" t="s">
        <v>29</v>
      </c>
      <c r="C33" s="4" t="s">
        <v>7</v>
      </c>
      <c r="D33" s="568" t="s">
        <v>291</v>
      </c>
      <c r="E33" s="220"/>
      <c r="F33" s="123">
        <f>F34+F37+F40</f>
        <v>12949.900000000001</v>
      </c>
      <c r="G33" s="227"/>
      <c r="H33" s="123">
        <f>H34+H37+H40</f>
        <v>12949.900000000001</v>
      </c>
      <c r="I33" s="227"/>
      <c r="J33" s="313">
        <f>J34+J37+J40</f>
        <v>12873.900000000001</v>
      </c>
      <c r="K33" s="511">
        <f t="shared" si="2"/>
        <v>0.99413122881257765</v>
      </c>
      <c r="L33" s="227"/>
      <c r="M33" s="511"/>
      <c r="N33" s="116"/>
      <c r="P33" s="116"/>
      <c r="Q33" s="116"/>
    </row>
    <row r="34" spans="1:17" s="106" customFormat="1" ht="31.5" x14ac:dyDescent="0.25">
      <c r="A34" s="268" t="s">
        <v>294</v>
      </c>
      <c r="B34" s="148" t="s">
        <v>29</v>
      </c>
      <c r="C34" s="4" t="s">
        <v>7</v>
      </c>
      <c r="D34" s="568" t="s">
        <v>295</v>
      </c>
      <c r="E34" s="220"/>
      <c r="F34" s="123">
        <f>F35</f>
        <v>1988.8000000000002</v>
      </c>
      <c r="G34" s="227"/>
      <c r="H34" s="123">
        <f>H35</f>
        <v>1988.8000000000002</v>
      </c>
      <c r="I34" s="227"/>
      <c r="J34" s="313">
        <f>J35</f>
        <v>1915.3</v>
      </c>
      <c r="K34" s="511">
        <f t="shared" si="2"/>
        <v>0.96304304102976657</v>
      </c>
      <c r="L34" s="227"/>
      <c r="M34" s="511"/>
      <c r="N34" s="116"/>
      <c r="P34" s="116"/>
      <c r="Q34" s="116"/>
    </row>
    <row r="35" spans="1:17" s="106" customFormat="1" x14ac:dyDescent="0.25">
      <c r="A35" s="268" t="s">
        <v>121</v>
      </c>
      <c r="B35" s="148" t="s">
        <v>29</v>
      </c>
      <c r="C35" s="4" t="s">
        <v>7</v>
      </c>
      <c r="D35" s="568" t="s">
        <v>295</v>
      </c>
      <c r="E35" s="220">
        <v>200</v>
      </c>
      <c r="F35" s="123">
        <f>F36</f>
        <v>1988.8000000000002</v>
      </c>
      <c r="G35" s="227"/>
      <c r="H35" s="123">
        <f>H36</f>
        <v>1988.8000000000002</v>
      </c>
      <c r="I35" s="227"/>
      <c r="J35" s="313">
        <f>J36</f>
        <v>1915.3</v>
      </c>
      <c r="K35" s="511">
        <f t="shared" si="2"/>
        <v>0.96304304102976657</v>
      </c>
      <c r="L35" s="227"/>
      <c r="M35" s="511"/>
      <c r="N35" s="116"/>
      <c r="P35" s="116"/>
      <c r="Q35" s="116"/>
    </row>
    <row r="36" spans="1:17" s="106" customFormat="1" ht="31.5" x14ac:dyDescent="0.25">
      <c r="A36" s="268" t="s">
        <v>52</v>
      </c>
      <c r="B36" s="148" t="s">
        <v>29</v>
      </c>
      <c r="C36" s="4" t="s">
        <v>7</v>
      </c>
      <c r="D36" s="568" t="s">
        <v>295</v>
      </c>
      <c r="E36" s="220">
        <v>240</v>
      </c>
      <c r="F36" s="123">
        <f>'ведом. 2024-2026'!AD511</f>
        <v>1988.8000000000002</v>
      </c>
      <c r="G36" s="227"/>
      <c r="H36" s="123">
        <f>'ведом. 2024-2026'!AE511</f>
        <v>1988.8000000000002</v>
      </c>
      <c r="I36" s="227"/>
      <c r="J36" s="313">
        <f>'ведом. 2024-2026'!AF511</f>
        <v>1915.3</v>
      </c>
      <c r="K36" s="511">
        <f t="shared" si="2"/>
        <v>0.96304304102976657</v>
      </c>
      <c r="L36" s="227"/>
      <c r="M36" s="511"/>
      <c r="N36" s="116"/>
      <c r="P36" s="116"/>
      <c r="Q36" s="116"/>
    </row>
    <row r="37" spans="1:17" s="106" customFormat="1" ht="47.25" x14ac:dyDescent="0.25">
      <c r="A37" s="268" t="s">
        <v>298</v>
      </c>
      <c r="B37" s="148" t="s">
        <v>29</v>
      </c>
      <c r="C37" s="4" t="s">
        <v>7</v>
      </c>
      <c r="D37" s="568" t="s">
        <v>296</v>
      </c>
      <c r="E37" s="220"/>
      <c r="F37" s="123">
        <f>F38</f>
        <v>5162.3999999999996</v>
      </c>
      <c r="G37" s="227"/>
      <c r="H37" s="123">
        <f>H38</f>
        <v>5162.3999999999996</v>
      </c>
      <c r="I37" s="227"/>
      <c r="J37" s="313">
        <f>J38</f>
        <v>5160.8</v>
      </c>
      <c r="K37" s="511">
        <f t="shared" si="2"/>
        <v>0.99969006663567339</v>
      </c>
      <c r="L37" s="227"/>
      <c r="M37" s="511"/>
      <c r="N37" s="116"/>
      <c r="P37" s="116"/>
      <c r="Q37" s="116"/>
    </row>
    <row r="38" spans="1:17" s="106" customFormat="1" ht="47.25" x14ac:dyDescent="0.25">
      <c r="A38" s="268" t="s">
        <v>41</v>
      </c>
      <c r="B38" s="148" t="s">
        <v>29</v>
      </c>
      <c r="C38" s="4" t="s">
        <v>7</v>
      </c>
      <c r="D38" s="568" t="s">
        <v>296</v>
      </c>
      <c r="E38" s="221">
        <v>100</v>
      </c>
      <c r="F38" s="123">
        <f>F39</f>
        <v>5162.3999999999996</v>
      </c>
      <c r="G38" s="227"/>
      <c r="H38" s="123">
        <f>H39</f>
        <v>5162.3999999999996</v>
      </c>
      <c r="I38" s="227"/>
      <c r="J38" s="313">
        <f>J39</f>
        <v>5160.8</v>
      </c>
      <c r="K38" s="511">
        <f t="shared" si="2"/>
        <v>0.99969006663567339</v>
      </c>
      <c r="L38" s="227"/>
      <c r="M38" s="511"/>
      <c r="N38" s="116"/>
      <c r="P38" s="116"/>
      <c r="Q38" s="116"/>
    </row>
    <row r="39" spans="1:17" s="106" customFormat="1" x14ac:dyDescent="0.25">
      <c r="A39" s="268" t="s">
        <v>97</v>
      </c>
      <c r="B39" s="148" t="s">
        <v>29</v>
      </c>
      <c r="C39" s="4" t="s">
        <v>7</v>
      </c>
      <c r="D39" s="568" t="s">
        <v>296</v>
      </c>
      <c r="E39" s="220">
        <v>120</v>
      </c>
      <c r="F39" s="123">
        <f>'ведом. 2024-2026'!AD514</f>
        <v>5162.3999999999996</v>
      </c>
      <c r="G39" s="227"/>
      <c r="H39" s="123">
        <f>'ведом. 2024-2026'!AE514</f>
        <v>5162.3999999999996</v>
      </c>
      <c r="I39" s="227"/>
      <c r="J39" s="313">
        <f>'ведом. 2024-2026'!AF514</f>
        <v>5160.8</v>
      </c>
      <c r="K39" s="511">
        <f t="shared" si="2"/>
        <v>0.99969006663567339</v>
      </c>
      <c r="L39" s="227"/>
      <c r="M39" s="511"/>
      <c r="N39" s="116"/>
      <c r="P39" s="116"/>
      <c r="Q39" s="116"/>
    </row>
    <row r="40" spans="1:17" s="106" customFormat="1" ht="31.5" x14ac:dyDescent="0.25">
      <c r="A40" s="268" t="s">
        <v>299</v>
      </c>
      <c r="B40" s="148" t="s">
        <v>29</v>
      </c>
      <c r="C40" s="4" t="s">
        <v>7</v>
      </c>
      <c r="D40" s="568" t="s">
        <v>297</v>
      </c>
      <c r="E40" s="220"/>
      <c r="F40" s="123">
        <f>F41</f>
        <v>5798.7000000000007</v>
      </c>
      <c r="G40" s="227"/>
      <c r="H40" s="123">
        <f>H41</f>
        <v>5798.7000000000007</v>
      </c>
      <c r="I40" s="227"/>
      <c r="J40" s="313">
        <f>J41</f>
        <v>5797.8</v>
      </c>
      <c r="K40" s="511">
        <f t="shared" si="2"/>
        <v>0.99984479279838578</v>
      </c>
      <c r="L40" s="227"/>
      <c r="M40" s="511"/>
      <c r="N40" s="116"/>
      <c r="P40" s="116"/>
      <c r="Q40" s="116"/>
    </row>
    <row r="41" spans="1:17" s="106" customFormat="1" ht="47.25" x14ac:dyDescent="0.25">
      <c r="A41" s="268" t="s">
        <v>41</v>
      </c>
      <c r="B41" s="148" t="s">
        <v>29</v>
      </c>
      <c r="C41" s="4" t="s">
        <v>7</v>
      </c>
      <c r="D41" s="568" t="s">
        <v>297</v>
      </c>
      <c r="E41" s="221">
        <v>100</v>
      </c>
      <c r="F41" s="123">
        <f>F42</f>
        <v>5798.7000000000007</v>
      </c>
      <c r="G41" s="227"/>
      <c r="H41" s="123">
        <f>H42</f>
        <v>5798.7000000000007</v>
      </c>
      <c r="I41" s="227"/>
      <c r="J41" s="313">
        <f>J42</f>
        <v>5797.8</v>
      </c>
      <c r="K41" s="511">
        <f t="shared" si="2"/>
        <v>0.99984479279838578</v>
      </c>
      <c r="L41" s="227"/>
      <c r="M41" s="511"/>
      <c r="N41" s="116"/>
      <c r="P41" s="116"/>
      <c r="Q41" s="116"/>
    </row>
    <row r="42" spans="1:17" s="106" customFormat="1" x14ac:dyDescent="0.25">
      <c r="A42" s="268" t="s">
        <v>97</v>
      </c>
      <c r="B42" s="148" t="s">
        <v>29</v>
      </c>
      <c r="C42" s="4" t="s">
        <v>7</v>
      </c>
      <c r="D42" s="568" t="s">
        <v>297</v>
      </c>
      <c r="E42" s="220">
        <v>120</v>
      </c>
      <c r="F42" s="123">
        <f>'ведом. 2024-2026'!AD517</f>
        <v>5798.7000000000007</v>
      </c>
      <c r="G42" s="227"/>
      <c r="H42" s="123">
        <f>'ведом. 2024-2026'!AE517</f>
        <v>5798.7000000000007</v>
      </c>
      <c r="I42" s="227"/>
      <c r="J42" s="313">
        <f>'ведом. 2024-2026'!AF517</f>
        <v>5797.8</v>
      </c>
      <c r="K42" s="511">
        <f t="shared" si="2"/>
        <v>0.99984479279838578</v>
      </c>
      <c r="L42" s="227"/>
      <c r="M42" s="511"/>
      <c r="N42" s="116"/>
      <c r="P42" s="116"/>
      <c r="Q42" s="116"/>
    </row>
    <row r="43" spans="1:17" s="106" customFormat="1" ht="31.5" x14ac:dyDescent="0.25">
      <c r="A43" s="268" t="s">
        <v>50</v>
      </c>
      <c r="B43" s="148" t="s">
        <v>29</v>
      </c>
      <c r="C43" s="4" t="s">
        <v>48</v>
      </c>
      <c r="D43" s="458"/>
      <c r="E43" s="221"/>
      <c r="F43" s="123">
        <f t="shared" ref="F43:L43" si="5">F44+F71+F52+F77</f>
        <v>112862.6</v>
      </c>
      <c r="G43" s="123">
        <f t="shared" si="5"/>
        <v>3198</v>
      </c>
      <c r="H43" s="123">
        <f t="shared" si="5"/>
        <v>112862.6</v>
      </c>
      <c r="I43" s="123">
        <f t="shared" si="5"/>
        <v>3198</v>
      </c>
      <c r="J43" s="313">
        <f t="shared" si="5"/>
        <v>110642.90000000001</v>
      </c>
      <c r="K43" s="511">
        <f t="shared" si="2"/>
        <v>0.98033272315186792</v>
      </c>
      <c r="L43" s="227">
        <f t="shared" si="5"/>
        <v>3198</v>
      </c>
      <c r="M43" s="511">
        <f t="shared" ref="M43:M51" si="6">L43/I43</f>
        <v>1</v>
      </c>
      <c r="N43" s="116"/>
      <c r="P43" s="116"/>
      <c r="Q43" s="116"/>
    </row>
    <row r="44" spans="1:17" s="106" customFormat="1" x14ac:dyDescent="0.25">
      <c r="A44" s="199" t="s">
        <v>300</v>
      </c>
      <c r="B44" s="148" t="s">
        <v>29</v>
      </c>
      <c r="C44" s="4" t="s">
        <v>48</v>
      </c>
      <c r="D44" s="458" t="s">
        <v>110</v>
      </c>
      <c r="E44" s="220"/>
      <c r="F44" s="123">
        <f>F45</f>
        <v>3198</v>
      </c>
      <c r="G44" s="123">
        <f t="shared" ref="G44:L44" si="7">G45</f>
        <v>3198</v>
      </c>
      <c r="H44" s="123">
        <f t="shared" si="7"/>
        <v>3198</v>
      </c>
      <c r="I44" s="123">
        <f t="shared" si="7"/>
        <v>3198</v>
      </c>
      <c r="J44" s="313">
        <f t="shared" si="7"/>
        <v>3198</v>
      </c>
      <c r="K44" s="511">
        <f t="shared" si="2"/>
        <v>1</v>
      </c>
      <c r="L44" s="227">
        <f t="shared" si="7"/>
        <v>3198</v>
      </c>
      <c r="M44" s="511">
        <f t="shared" si="6"/>
        <v>1</v>
      </c>
      <c r="N44" s="116"/>
      <c r="P44" s="116"/>
      <c r="Q44" s="116"/>
    </row>
    <row r="45" spans="1:17" s="106" customFormat="1" x14ac:dyDescent="0.25">
      <c r="A45" s="199" t="s">
        <v>47</v>
      </c>
      <c r="B45" s="148" t="s">
        <v>29</v>
      </c>
      <c r="C45" s="4" t="s">
        <v>48</v>
      </c>
      <c r="D45" s="458" t="s">
        <v>427</v>
      </c>
      <c r="E45" s="220"/>
      <c r="F45" s="123">
        <f t="shared" ref="F45:L46" si="8">F46</f>
        <v>3198</v>
      </c>
      <c r="G45" s="227">
        <f t="shared" si="8"/>
        <v>3198</v>
      </c>
      <c r="H45" s="123">
        <f t="shared" si="8"/>
        <v>3198</v>
      </c>
      <c r="I45" s="227">
        <f t="shared" si="8"/>
        <v>3198</v>
      </c>
      <c r="J45" s="313">
        <f t="shared" si="8"/>
        <v>3198</v>
      </c>
      <c r="K45" s="511">
        <f t="shared" si="2"/>
        <v>1</v>
      </c>
      <c r="L45" s="227">
        <f t="shared" si="8"/>
        <v>3198</v>
      </c>
      <c r="M45" s="511">
        <f t="shared" si="6"/>
        <v>1</v>
      </c>
      <c r="N45" s="116"/>
      <c r="P45" s="116"/>
      <c r="Q45" s="116"/>
    </row>
    <row r="46" spans="1:17" s="106" customFormat="1" ht="47.25" x14ac:dyDescent="0.25">
      <c r="A46" s="199" t="s">
        <v>557</v>
      </c>
      <c r="B46" s="148" t="s">
        <v>29</v>
      </c>
      <c r="C46" s="4" t="s">
        <v>48</v>
      </c>
      <c r="D46" s="458" t="s">
        <v>556</v>
      </c>
      <c r="E46" s="220"/>
      <c r="F46" s="123">
        <f t="shared" si="8"/>
        <v>3198</v>
      </c>
      <c r="G46" s="227">
        <f t="shared" si="8"/>
        <v>3198</v>
      </c>
      <c r="H46" s="123">
        <f t="shared" si="8"/>
        <v>3198</v>
      </c>
      <c r="I46" s="227">
        <f t="shared" si="8"/>
        <v>3198</v>
      </c>
      <c r="J46" s="313">
        <f t="shared" si="8"/>
        <v>3198</v>
      </c>
      <c r="K46" s="511">
        <f t="shared" si="2"/>
        <v>1</v>
      </c>
      <c r="L46" s="227">
        <f t="shared" si="8"/>
        <v>3198</v>
      </c>
      <c r="M46" s="511">
        <f t="shared" si="6"/>
        <v>1</v>
      </c>
      <c r="N46" s="116"/>
      <c r="P46" s="116"/>
      <c r="Q46" s="116"/>
    </row>
    <row r="47" spans="1:17" s="106" customFormat="1" ht="47.25" x14ac:dyDescent="0.25">
      <c r="A47" s="268" t="s">
        <v>376</v>
      </c>
      <c r="B47" s="148" t="s">
        <v>29</v>
      </c>
      <c r="C47" s="4" t="s">
        <v>48</v>
      </c>
      <c r="D47" s="458" t="s">
        <v>558</v>
      </c>
      <c r="E47" s="220"/>
      <c r="F47" s="123">
        <f t="shared" ref="F47:L47" si="9">F48+F50</f>
        <v>3198</v>
      </c>
      <c r="G47" s="227">
        <f t="shared" si="9"/>
        <v>3198</v>
      </c>
      <c r="H47" s="123">
        <f t="shared" ref="H47:I47" si="10">H48+H50</f>
        <v>3198</v>
      </c>
      <c r="I47" s="227">
        <f t="shared" si="10"/>
        <v>3198</v>
      </c>
      <c r="J47" s="313">
        <f t="shared" si="9"/>
        <v>3198</v>
      </c>
      <c r="K47" s="511">
        <f t="shared" si="2"/>
        <v>1</v>
      </c>
      <c r="L47" s="227">
        <f t="shared" si="9"/>
        <v>3198</v>
      </c>
      <c r="M47" s="511">
        <f t="shared" si="6"/>
        <v>1</v>
      </c>
      <c r="N47" s="116"/>
      <c r="P47" s="116"/>
      <c r="Q47" s="116"/>
    </row>
    <row r="48" spans="1:17" s="106" customFormat="1" ht="47.25" x14ac:dyDescent="0.25">
      <c r="A48" s="197" t="s">
        <v>41</v>
      </c>
      <c r="B48" s="148" t="s">
        <v>29</v>
      </c>
      <c r="C48" s="4" t="s">
        <v>48</v>
      </c>
      <c r="D48" s="458" t="s">
        <v>558</v>
      </c>
      <c r="E48" s="221">
        <v>100</v>
      </c>
      <c r="F48" s="123">
        <f t="shared" ref="F48:L48" si="11">F49</f>
        <v>3150.9</v>
      </c>
      <c r="G48" s="227">
        <f t="shared" si="11"/>
        <v>3150.9</v>
      </c>
      <c r="H48" s="123">
        <f t="shared" si="11"/>
        <v>3150.9</v>
      </c>
      <c r="I48" s="227">
        <f t="shared" si="11"/>
        <v>3150.9</v>
      </c>
      <c r="J48" s="313">
        <f t="shared" si="11"/>
        <v>3150.9</v>
      </c>
      <c r="K48" s="511">
        <f t="shared" si="2"/>
        <v>1</v>
      </c>
      <c r="L48" s="227">
        <f t="shared" si="11"/>
        <v>3150.9</v>
      </c>
      <c r="M48" s="511">
        <f t="shared" si="6"/>
        <v>1</v>
      </c>
      <c r="N48" s="116"/>
      <c r="P48" s="116"/>
      <c r="Q48" s="116"/>
    </row>
    <row r="49" spans="1:17" s="106" customFormat="1" x14ac:dyDescent="0.25">
      <c r="A49" s="197" t="s">
        <v>97</v>
      </c>
      <c r="B49" s="148" t="s">
        <v>29</v>
      </c>
      <c r="C49" s="4" t="s">
        <v>48</v>
      </c>
      <c r="D49" s="458" t="s">
        <v>558</v>
      </c>
      <c r="E49" s="220">
        <v>120</v>
      </c>
      <c r="F49" s="123">
        <f>'ведом. 2024-2026'!AD23</f>
        <v>3150.9</v>
      </c>
      <c r="G49" s="227">
        <f>F49</f>
        <v>3150.9</v>
      </c>
      <c r="H49" s="123">
        <f>'ведом. 2024-2026'!AE23</f>
        <v>3150.9</v>
      </c>
      <c r="I49" s="227">
        <f>H49</f>
        <v>3150.9</v>
      </c>
      <c r="J49" s="313">
        <f>'ведом. 2024-2026'!AF23</f>
        <v>3150.9</v>
      </c>
      <c r="K49" s="511">
        <f t="shared" si="2"/>
        <v>1</v>
      </c>
      <c r="L49" s="227">
        <f>J49</f>
        <v>3150.9</v>
      </c>
      <c r="M49" s="511">
        <f t="shared" si="6"/>
        <v>1</v>
      </c>
      <c r="N49" s="116"/>
      <c r="P49" s="116"/>
      <c r="Q49" s="116"/>
    </row>
    <row r="50" spans="1:17" s="106" customFormat="1" x14ac:dyDescent="0.25">
      <c r="A50" s="197" t="s">
        <v>121</v>
      </c>
      <c r="B50" s="148" t="s">
        <v>29</v>
      </c>
      <c r="C50" s="4" t="s">
        <v>48</v>
      </c>
      <c r="D50" s="458" t="s">
        <v>558</v>
      </c>
      <c r="E50" s="220">
        <v>200</v>
      </c>
      <c r="F50" s="123">
        <f t="shared" ref="F50:L50" si="12">F51</f>
        <v>47.099999999999994</v>
      </c>
      <c r="G50" s="227">
        <f t="shared" si="12"/>
        <v>47.099999999999994</v>
      </c>
      <c r="H50" s="123">
        <f t="shared" si="12"/>
        <v>47.099999999999994</v>
      </c>
      <c r="I50" s="227">
        <f t="shared" si="12"/>
        <v>47.099999999999994</v>
      </c>
      <c r="J50" s="313">
        <f t="shared" si="12"/>
        <v>47.1</v>
      </c>
      <c r="K50" s="511">
        <f t="shared" si="2"/>
        <v>1.0000000000000002</v>
      </c>
      <c r="L50" s="227">
        <f t="shared" si="12"/>
        <v>47.1</v>
      </c>
      <c r="M50" s="511">
        <f t="shared" si="6"/>
        <v>1.0000000000000002</v>
      </c>
      <c r="N50" s="116"/>
      <c r="P50" s="116"/>
      <c r="Q50" s="116"/>
    </row>
    <row r="51" spans="1:17" s="106" customFormat="1" ht="31.5" x14ac:dyDescent="0.25">
      <c r="A51" s="197" t="s">
        <v>52</v>
      </c>
      <c r="B51" s="148" t="s">
        <v>29</v>
      </c>
      <c r="C51" s="4" t="s">
        <v>48</v>
      </c>
      <c r="D51" s="458" t="s">
        <v>558</v>
      </c>
      <c r="E51" s="220">
        <v>240</v>
      </c>
      <c r="F51" s="123">
        <f>'ведом. 2024-2026'!AD25</f>
        <v>47.099999999999994</v>
      </c>
      <c r="G51" s="227">
        <f>F51</f>
        <v>47.099999999999994</v>
      </c>
      <c r="H51" s="123">
        <f>'ведом. 2024-2026'!AE25</f>
        <v>47.099999999999994</v>
      </c>
      <c r="I51" s="227">
        <f>H51</f>
        <v>47.099999999999994</v>
      </c>
      <c r="J51" s="313">
        <f>'ведом. 2024-2026'!AF25</f>
        <v>47.1</v>
      </c>
      <c r="K51" s="511">
        <f t="shared" si="2"/>
        <v>1.0000000000000002</v>
      </c>
      <c r="L51" s="227">
        <f>J51</f>
        <v>47.1</v>
      </c>
      <c r="M51" s="511">
        <f t="shared" si="6"/>
        <v>1.0000000000000002</v>
      </c>
      <c r="N51" s="116"/>
      <c r="P51" s="116"/>
      <c r="Q51" s="116"/>
    </row>
    <row r="52" spans="1:17" s="106" customFormat="1" x14ac:dyDescent="0.25">
      <c r="A52" s="199" t="s">
        <v>187</v>
      </c>
      <c r="B52" s="148" t="s">
        <v>29</v>
      </c>
      <c r="C52" s="4" t="s">
        <v>48</v>
      </c>
      <c r="D52" s="568" t="s">
        <v>113</v>
      </c>
      <c r="E52" s="220"/>
      <c r="F52" s="123">
        <f>F53</f>
        <v>96050.4</v>
      </c>
      <c r="G52" s="227"/>
      <c r="H52" s="123">
        <f>H53</f>
        <v>96050.4</v>
      </c>
      <c r="I52" s="227"/>
      <c r="J52" s="313">
        <f>J53</f>
        <v>93844.2</v>
      </c>
      <c r="K52" s="511">
        <f t="shared" si="2"/>
        <v>0.97703080882536675</v>
      </c>
      <c r="L52" s="227"/>
      <c r="M52" s="511"/>
      <c r="N52" s="116"/>
      <c r="P52" s="116"/>
      <c r="Q52" s="116"/>
    </row>
    <row r="53" spans="1:17" s="106" customFormat="1" x14ac:dyDescent="0.25">
      <c r="A53" s="199" t="s">
        <v>191</v>
      </c>
      <c r="B53" s="148" t="s">
        <v>29</v>
      </c>
      <c r="C53" s="4" t="s">
        <v>48</v>
      </c>
      <c r="D53" s="568" t="s">
        <v>192</v>
      </c>
      <c r="E53" s="220"/>
      <c r="F53" s="123">
        <f>F54+F67</f>
        <v>96050.4</v>
      </c>
      <c r="G53" s="227"/>
      <c r="H53" s="123">
        <f>H54+H67</f>
        <v>96050.4</v>
      </c>
      <c r="I53" s="227"/>
      <c r="J53" s="313">
        <f>J54+J67</f>
        <v>93844.2</v>
      </c>
      <c r="K53" s="511">
        <f t="shared" si="2"/>
        <v>0.97703080882536675</v>
      </c>
      <c r="L53" s="227"/>
      <c r="M53" s="511"/>
      <c r="N53" s="116"/>
      <c r="P53" s="116"/>
      <c r="Q53" s="116"/>
    </row>
    <row r="54" spans="1:17" s="106" customFormat="1" ht="31.5" x14ac:dyDescent="0.25">
      <c r="A54" s="199" t="s">
        <v>193</v>
      </c>
      <c r="B54" s="148" t="s">
        <v>29</v>
      </c>
      <c r="C54" s="4" t="s">
        <v>48</v>
      </c>
      <c r="D54" s="568" t="s">
        <v>194</v>
      </c>
      <c r="E54" s="220"/>
      <c r="F54" s="123">
        <f>F55</f>
        <v>95894</v>
      </c>
      <c r="G54" s="227"/>
      <c r="H54" s="123">
        <f>H55</f>
        <v>95894</v>
      </c>
      <c r="I54" s="227"/>
      <c r="J54" s="313">
        <f>J55</f>
        <v>93687.8</v>
      </c>
      <c r="K54" s="511">
        <f t="shared" si="2"/>
        <v>0.97699334682044758</v>
      </c>
      <c r="L54" s="227"/>
      <c r="M54" s="511"/>
      <c r="N54" s="116"/>
      <c r="P54" s="116"/>
      <c r="Q54" s="116"/>
    </row>
    <row r="55" spans="1:17" s="106" customFormat="1" x14ac:dyDescent="0.25">
      <c r="A55" s="199" t="s">
        <v>197</v>
      </c>
      <c r="B55" s="148" t="s">
        <v>29</v>
      </c>
      <c r="C55" s="4" t="s">
        <v>48</v>
      </c>
      <c r="D55" s="568" t="s">
        <v>198</v>
      </c>
      <c r="E55" s="220"/>
      <c r="F55" s="123">
        <f>F56+F61+F64</f>
        <v>95894</v>
      </c>
      <c r="G55" s="227"/>
      <c r="H55" s="123">
        <f>H56+H61+H64</f>
        <v>95894</v>
      </c>
      <c r="I55" s="227"/>
      <c r="J55" s="313">
        <f>J56+J61+J64</f>
        <v>93687.8</v>
      </c>
      <c r="K55" s="511">
        <f t="shared" si="2"/>
        <v>0.97699334682044758</v>
      </c>
      <c r="L55" s="227"/>
      <c r="M55" s="511"/>
      <c r="N55" s="116"/>
      <c r="P55" s="116"/>
      <c r="Q55" s="116"/>
    </row>
    <row r="56" spans="1:17" s="106" customFormat="1" ht="31.5" x14ac:dyDescent="0.25">
      <c r="A56" s="275" t="s">
        <v>199</v>
      </c>
      <c r="B56" s="141" t="s">
        <v>29</v>
      </c>
      <c r="C56" s="144" t="s">
        <v>48</v>
      </c>
      <c r="D56" s="568" t="s">
        <v>200</v>
      </c>
      <c r="E56" s="220"/>
      <c r="F56" s="123">
        <f>F57+F59</f>
        <v>9316.5000000000018</v>
      </c>
      <c r="G56" s="123"/>
      <c r="H56" s="123">
        <f t="shared" ref="H56:J56" si="13">H57+H59</f>
        <v>9316.5000000000018</v>
      </c>
      <c r="I56" s="123"/>
      <c r="J56" s="313">
        <f t="shared" si="13"/>
        <v>8178.9000000000005</v>
      </c>
      <c r="K56" s="511">
        <f t="shared" si="2"/>
        <v>0.87789405892770878</v>
      </c>
      <c r="L56" s="227"/>
      <c r="M56" s="511"/>
      <c r="N56" s="116"/>
      <c r="P56" s="116"/>
      <c r="Q56" s="116"/>
    </row>
    <row r="57" spans="1:17" s="106" customFormat="1" x14ac:dyDescent="0.25">
      <c r="A57" s="268" t="s">
        <v>121</v>
      </c>
      <c r="B57" s="148" t="s">
        <v>29</v>
      </c>
      <c r="C57" s="4" t="s">
        <v>48</v>
      </c>
      <c r="D57" s="568" t="s">
        <v>200</v>
      </c>
      <c r="E57" s="220">
        <v>200</v>
      </c>
      <c r="F57" s="123">
        <f>F58</f>
        <v>9316.4000000000015</v>
      </c>
      <c r="G57" s="227"/>
      <c r="H57" s="123">
        <f>H58</f>
        <v>9316.4000000000015</v>
      </c>
      <c r="I57" s="227"/>
      <c r="J57" s="313">
        <f>J58</f>
        <v>8178.8</v>
      </c>
      <c r="K57" s="511">
        <f t="shared" si="2"/>
        <v>0.87789274827186459</v>
      </c>
      <c r="L57" s="227"/>
      <c r="M57" s="511"/>
      <c r="N57" s="116"/>
      <c r="P57" s="116"/>
      <c r="Q57" s="116"/>
    </row>
    <row r="58" spans="1:17" s="106" customFormat="1" ht="31.5" x14ac:dyDescent="0.25">
      <c r="A58" s="268" t="s">
        <v>52</v>
      </c>
      <c r="B58" s="148" t="s">
        <v>29</v>
      </c>
      <c r="C58" s="4" t="s">
        <v>48</v>
      </c>
      <c r="D58" s="568" t="s">
        <v>200</v>
      </c>
      <c r="E58" s="220">
        <v>240</v>
      </c>
      <c r="F58" s="123">
        <f>'ведом. 2024-2026'!AD32</f>
        <v>9316.4000000000015</v>
      </c>
      <c r="G58" s="227"/>
      <c r="H58" s="123">
        <f>'ведом. 2024-2026'!AE32</f>
        <v>9316.4000000000015</v>
      </c>
      <c r="I58" s="227"/>
      <c r="J58" s="313">
        <f>'ведом. 2024-2026'!AF32</f>
        <v>8178.8</v>
      </c>
      <c r="K58" s="511">
        <f t="shared" si="2"/>
        <v>0.87789274827186459</v>
      </c>
      <c r="L58" s="227"/>
      <c r="M58" s="511"/>
      <c r="N58" s="116"/>
      <c r="P58" s="116"/>
      <c r="Q58" s="116"/>
    </row>
    <row r="59" spans="1:17" s="106" customFormat="1" x14ac:dyDescent="0.25">
      <c r="A59" s="197" t="s">
        <v>42</v>
      </c>
      <c r="B59" s="1" t="s">
        <v>29</v>
      </c>
      <c r="C59" s="4" t="s">
        <v>48</v>
      </c>
      <c r="D59" s="211" t="s">
        <v>200</v>
      </c>
      <c r="E59" s="220">
        <v>800</v>
      </c>
      <c r="F59" s="123">
        <f>F60</f>
        <v>0.1</v>
      </c>
      <c r="G59" s="123"/>
      <c r="H59" s="123">
        <f>H60</f>
        <v>0.1</v>
      </c>
      <c r="I59" s="123"/>
      <c r="J59" s="313">
        <f>J60</f>
        <v>0.1</v>
      </c>
      <c r="K59" s="511">
        <f t="shared" si="2"/>
        <v>1</v>
      </c>
      <c r="L59" s="227"/>
      <c r="M59" s="511"/>
      <c r="N59" s="116"/>
      <c r="P59" s="116"/>
      <c r="Q59" s="116"/>
    </row>
    <row r="60" spans="1:17" s="106" customFormat="1" x14ac:dyDescent="0.25">
      <c r="A60" s="197" t="s">
        <v>58</v>
      </c>
      <c r="B60" s="1" t="s">
        <v>29</v>
      </c>
      <c r="C60" s="4" t="s">
        <v>48</v>
      </c>
      <c r="D60" s="211" t="s">
        <v>200</v>
      </c>
      <c r="E60" s="220">
        <v>850</v>
      </c>
      <c r="F60" s="123">
        <f>'ведом. 2024-2026'!AD34</f>
        <v>0.1</v>
      </c>
      <c r="G60" s="227"/>
      <c r="H60" s="123">
        <f>'ведом. 2024-2026'!AE34</f>
        <v>0.1</v>
      </c>
      <c r="I60" s="227"/>
      <c r="J60" s="313">
        <f>'ведом. 2024-2026'!AF34</f>
        <v>0.1</v>
      </c>
      <c r="K60" s="511">
        <f t="shared" si="2"/>
        <v>1</v>
      </c>
      <c r="L60" s="227"/>
      <c r="M60" s="511"/>
      <c r="N60" s="116"/>
      <c r="P60" s="116"/>
      <c r="Q60" s="116"/>
    </row>
    <row r="61" spans="1:17" s="106" customFormat="1" ht="31.5" x14ac:dyDescent="0.25">
      <c r="A61" s="268" t="s">
        <v>201</v>
      </c>
      <c r="B61" s="148" t="s">
        <v>29</v>
      </c>
      <c r="C61" s="4" t="s">
        <v>48</v>
      </c>
      <c r="D61" s="568" t="s">
        <v>202</v>
      </c>
      <c r="E61" s="221"/>
      <c r="F61" s="123">
        <f>F62</f>
        <v>23377.7</v>
      </c>
      <c r="G61" s="227"/>
      <c r="H61" s="123">
        <f>H62</f>
        <v>23377.7</v>
      </c>
      <c r="I61" s="227"/>
      <c r="J61" s="313">
        <f>J62</f>
        <v>23253.7</v>
      </c>
      <c r="K61" s="511">
        <f t="shared" si="2"/>
        <v>0.99469579984344059</v>
      </c>
      <c r="L61" s="227"/>
      <c r="M61" s="511"/>
      <c r="N61" s="116"/>
      <c r="P61" s="116"/>
      <c r="Q61" s="116"/>
    </row>
    <row r="62" spans="1:17" s="106" customFormat="1" ht="47.25" x14ac:dyDescent="0.25">
      <c r="A62" s="268" t="s">
        <v>41</v>
      </c>
      <c r="B62" s="148" t="s">
        <v>29</v>
      </c>
      <c r="C62" s="4" t="s">
        <v>48</v>
      </c>
      <c r="D62" s="568" t="s">
        <v>202</v>
      </c>
      <c r="E62" s="221">
        <v>100</v>
      </c>
      <c r="F62" s="123">
        <f>F63</f>
        <v>23377.7</v>
      </c>
      <c r="G62" s="227"/>
      <c r="H62" s="123">
        <f>H63</f>
        <v>23377.7</v>
      </c>
      <c r="I62" s="227"/>
      <c r="J62" s="313">
        <f>J63</f>
        <v>23253.7</v>
      </c>
      <c r="K62" s="511">
        <f t="shared" si="2"/>
        <v>0.99469579984344059</v>
      </c>
      <c r="L62" s="227"/>
      <c r="M62" s="511"/>
      <c r="N62" s="116"/>
      <c r="P62" s="116"/>
      <c r="Q62" s="116"/>
    </row>
    <row r="63" spans="1:17" s="106" customFormat="1" x14ac:dyDescent="0.25">
      <c r="A63" s="268" t="s">
        <v>97</v>
      </c>
      <c r="B63" s="148" t="s">
        <v>29</v>
      </c>
      <c r="C63" s="4" t="s">
        <v>48</v>
      </c>
      <c r="D63" s="568" t="s">
        <v>202</v>
      </c>
      <c r="E63" s="220">
        <v>120</v>
      </c>
      <c r="F63" s="123">
        <f>'ведом. 2024-2026'!AD37</f>
        <v>23377.7</v>
      </c>
      <c r="G63" s="227"/>
      <c r="H63" s="123">
        <f>'ведом. 2024-2026'!AD37</f>
        <v>23377.7</v>
      </c>
      <c r="I63" s="227"/>
      <c r="J63" s="313">
        <f>'ведом. 2024-2026'!AF37</f>
        <v>23253.7</v>
      </c>
      <c r="K63" s="511">
        <f t="shared" si="2"/>
        <v>0.99469579984344059</v>
      </c>
      <c r="L63" s="227"/>
      <c r="M63" s="511"/>
      <c r="N63" s="116"/>
      <c r="P63" s="116"/>
      <c r="Q63" s="116"/>
    </row>
    <row r="64" spans="1:17" s="106" customFormat="1" ht="31.5" x14ac:dyDescent="0.25">
      <c r="A64" s="268" t="s">
        <v>203</v>
      </c>
      <c r="B64" s="148" t="s">
        <v>29</v>
      </c>
      <c r="C64" s="4" t="s">
        <v>48</v>
      </c>
      <c r="D64" s="568" t="s">
        <v>204</v>
      </c>
      <c r="E64" s="221"/>
      <c r="F64" s="123">
        <f>F65</f>
        <v>63199.8</v>
      </c>
      <c r="G64" s="227"/>
      <c r="H64" s="123">
        <f>H65</f>
        <v>63199.8</v>
      </c>
      <c r="I64" s="227"/>
      <c r="J64" s="313">
        <f>J65</f>
        <v>62255.199999999997</v>
      </c>
      <c r="K64" s="511">
        <f t="shared" si="2"/>
        <v>0.98505375017009533</v>
      </c>
      <c r="L64" s="227"/>
      <c r="M64" s="511"/>
      <c r="N64" s="116"/>
      <c r="P64" s="116"/>
      <c r="Q64" s="116"/>
    </row>
    <row r="65" spans="1:17" s="106" customFormat="1" ht="47.25" x14ac:dyDescent="0.25">
      <c r="A65" s="268" t="s">
        <v>41</v>
      </c>
      <c r="B65" s="148" t="s">
        <v>29</v>
      </c>
      <c r="C65" s="4" t="s">
        <v>48</v>
      </c>
      <c r="D65" s="568" t="s">
        <v>204</v>
      </c>
      <c r="E65" s="221">
        <v>100</v>
      </c>
      <c r="F65" s="123">
        <f>F66</f>
        <v>63199.8</v>
      </c>
      <c r="G65" s="227"/>
      <c r="H65" s="123">
        <f>H66</f>
        <v>63199.8</v>
      </c>
      <c r="I65" s="227"/>
      <c r="J65" s="313">
        <f>J66</f>
        <v>62255.199999999997</v>
      </c>
      <c r="K65" s="511">
        <f t="shared" si="2"/>
        <v>0.98505375017009533</v>
      </c>
      <c r="L65" s="227"/>
      <c r="M65" s="511"/>
      <c r="N65" s="116"/>
      <c r="P65" s="116"/>
      <c r="Q65" s="116"/>
    </row>
    <row r="66" spans="1:17" s="106" customFormat="1" x14ac:dyDescent="0.25">
      <c r="A66" s="268" t="s">
        <v>97</v>
      </c>
      <c r="B66" s="148" t="s">
        <v>29</v>
      </c>
      <c r="C66" s="4" t="s">
        <v>48</v>
      </c>
      <c r="D66" s="568" t="s">
        <v>204</v>
      </c>
      <c r="E66" s="220">
        <v>120</v>
      </c>
      <c r="F66" s="123">
        <f>'ведом. 2024-2026'!AD40</f>
        <v>63199.8</v>
      </c>
      <c r="G66" s="227"/>
      <c r="H66" s="123">
        <f>'ведом. 2024-2026'!AE40</f>
        <v>63199.8</v>
      </c>
      <c r="I66" s="227"/>
      <c r="J66" s="313">
        <f>'ведом. 2024-2026'!AF40</f>
        <v>62255.199999999997</v>
      </c>
      <c r="K66" s="511">
        <f t="shared" si="2"/>
        <v>0.98505375017009533</v>
      </c>
      <c r="L66" s="227"/>
      <c r="M66" s="511"/>
      <c r="N66" s="116"/>
      <c r="P66" s="116"/>
      <c r="Q66" s="116"/>
    </row>
    <row r="67" spans="1:17" s="106" customFormat="1" ht="31.5" x14ac:dyDescent="0.25">
      <c r="A67" s="197" t="s">
        <v>572</v>
      </c>
      <c r="B67" s="148" t="s">
        <v>29</v>
      </c>
      <c r="C67" s="4" t="s">
        <v>48</v>
      </c>
      <c r="D67" s="541" t="s">
        <v>573</v>
      </c>
      <c r="E67" s="220"/>
      <c r="F67" s="123">
        <f>F68</f>
        <v>156.39999999999998</v>
      </c>
      <c r="G67" s="227"/>
      <c r="H67" s="123">
        <f>H68</f>
        <v>156.39999999999998</v>
      </c>
      <c r="I67" s="227"/>
      <c r="J67" s="313">
        <f t="shared" ref="J67:J68" si="14">J68</f>
        <v>156.4</v>
      </c>
      <c r="K67" s="511">
        <f t="shared" si="2"/>
        <v>1.0000000000000002</v>
      </c>
      <c r="L67" s="227"/>
      <c r="M67" s="511"/>
      <c r="N67" s="116"/>
      <c r="P67" s="116"/>
      <c r="Q67" s="116"/>
    </row>
    <row r="68" spans="1:17" s="106" customFormat="1" ht="78.75" x14ac:dyDescent="0.25">
      <c r="A68" s="197" t="s">
        <v>432</v>
      </c>
      <c r="B68" s="148" t="s">
        <v>29</v>
      </c>
      <c r="C68" s="4" t="s">
        <v>48</v>
      </c>
      <c r="D68" s="568" t="s">
        <v>574</v>
      </c>
      <c r="E68" s="220"/>
      <c r="F68" s="123">
        <f>F69</f>
        <v>156.39999999999998</v>
      </c>
      <c r="G68" s="227"/>
      <c r="H68" s="123">
        <f>H69</f>
        <v>156.39999999999998</v>
      </c>
      <c r="I68" s="227"/>
      <c r="J68" s="313">
        <f t="shared" si="14"/>
        <v>156.4</v>
      </c>
      <c r="K68" s="511">
        <f t="shared" si="2"/>
        <v>1.0000000000000002</v>
      </c>
      <c r="L68" s="227"/>
      <c r="M68" s="511"/>
      <c r="N68" s="116"/>
      <c r="P68" s="116"/>
      <c r="Q68" s="116"/>
    </row>
    <row r="69" spans="1:17" s="106" customFormat="1" x14ac:dyDescent="0.25">
      <c r="A69" s="197" t="s">
        <v>121</v>
      </c>
      <c r="B69" s="148" t="s">
        <v>29</v>
      </c>
      <c r="C69" s="4" t="s">
        <v>48</v>
      </c>
      <c r="D69" s="568" t="s">
        <v>574</v>
      </c>
      <c r="E69" s="220">
        <v>200</v>
      </c>
      <c r="F69" s="123">
        <f>F70</f>
        <v>156.39999999999998</v>
      </c>
      <c r="G69" s="227"/>
      <c r="H69" s="123">
        <f>H70</f>
        <v>156.39999999999998</v>
      </c>
      <c r="I69" s="227"/>
      <c r="J69" s="313">
        <f>J70</f>
        <v>156.4</v>
      </c>
      <c r="K69" s="511">
        <f t="shared" si="2"/>
        <v>1.0000000000000002</v>
      </c>
      <c r="L69" s="227"/>
      <c r="M69" s="511"/>
      <c r="N69" s="116"/>
      <c r="P69" s="116"/>
      <c r="Q69" s="116"/>
    </row>
    <row r="70" spans="1:17" s="106" customFormat="1" ht="31.5" x14ac:dyDescent="0.25">
      <c r="A70" s="197" t="s">
        <v>52</v>
      </c>
      <c r="B70" s="148" t="s">
        <v>29</v>
      </c>
      <c r="C70" s="4" t="s">
        <v>48</v>
      </c>
      <c r="D70" s="568" t="s">
        <v>574</v>
      </c>
      <c r="E70" s="220">
        <v>240</v>
      </c>
      <c r="F70" s="123">
        <f>'ведом. 2024-2026'!AD44</f>
        <v>156.39999999999998</v>
      </c>
      <c r="G70" s="227"/>
      <c r="H70" s="123">
        <f>'ведом. 2024-2026'!AE44</f>
        <v>156.39999999999998</v>
      </c>
      <c r="I70" s="227"/>
      <c r="J70" s="313">
        <f>'ведом. 2024-2026'!AF44</f>
        <v>156.4</v>
      </c>
      <c r="K70" s="511">
        <f t="shared" si="2"/>
        <v>1.0000000000000002</v>
      </c>
      <c r="L70" s="227"/>
      <c r="M70" s="511"/>
      <c r="N70" s="116"/>
      <c r="P70" s="116"/>
      <c r="Q70" s="116"/>
    </row>
    <row r="71" spans="1:17" s="106" customFormat="1" ht="31.5" x14ac:dyDescent="0.25">
      <c r="A71" s="199" t="s">
        <v>306</v>
      </c>
      <c r="B71" s="148" t="s">
        <v>29</v>
      </c>
      <c r="C71" s="4" t="s">
        <v>48</v>
      </c>
      <c r="D71" s="568" t="s">
        <v>132</v>
      </c>
      <c r="E71" s="220"/>
      <c r="F71" s="123">
        <f>F72</f>
        <v>9138.6</v>
      </c>
      <c r="G71" s="227"/>
      <c r="H71" s="123">
        <f>H72</f>
        <v>9138.6</v>
      </c>
      <c r="I71" s="227"/>
      <c r="J71" s="313">
        <f>J72</f>
        <v>9125.1</v>
      </c>
      <c r="K71" s="511">
        <f t="shared" si="2"/>
        <v>0.99852274965530829</v>
      </c>
      <c r="L71" s="227"/>
      <c r="M71" s="511"/>
      <c r="N71" s="116"/>
      <c r="P71" s="116"/>
      <c r="Q71" s="116"/>
    </row>
    <row r="72" spans="1:17" s="106" customFormat="1" ht="47.25" x14ac:dyDescent="0.25">
      <c r="A72" s="199" t="s">
        <v>307</v>
      </c>
      <c r="B72" s="148" t="s">
        <v>29</v>
      </c>
      <c r="C72" s="4" t="s">
        <v>48</v>
      </c>
      <c r="D72" s="568" t="s">
        <v>308</v>
      </c>
      <c r="E72" s="220"/>
      <c r="F72" s="123">
        <f>F73</f>
        <v>9138.6</v>
      </c>
      <c r="G72" s="227"/>
      <c r="H72" s="123">
        <f>H73</f>
        <v>9138.6</v>
      </c>
      <c r="I72" s="227"/>
      <c r="J72" s="313">
        <f>J73</f>
        <v>9125.1</v>
      </c>
      <c r="K72" s="511">
        <f t="shared" si="2"/>
        <v>0.99852274965530829</v>
      </c>
      <c r="L72" s="227"/>
      <c r="M72" s="511"/>
      <c r="N72" s="116"/>
      <c r="P72" s="116"/>
      <c r="Q72" s="116"/>
    </row>
    <row r="73" spans="1:17" s="106" customFormat="1" ht="31.5" x14ac:dyDescent="0.25">
      <c r="A73" s="200" t="s">
        <v>309</v>
      </c>
      <c r="B73" s="148" t="s">
        <v>29</v>
      </c>
      <c r="C73" s="4" t="s">
        <v>48</v>
      </c>
      <c r="D73" s="568" t="s">
        <v>310</v>
      </c>
      <c r="E73" s="220"/>
      <c r="F73" s="123">
        <f>F74</f>
        <v>9138.6</v>
      </c>
      <c r="G73" s="227"/>
      <c r="H73" s="123">
        <f>H74</f>
        <v>9138.6</v>
      </c>
      <c r="I73" s="227"/>
      <c r="J73" s="313">
        <f>J74</f>
        <v>9125.1</v>
      </c>
      <c r="K73" s="511">
        <f t="shared" si="2"/>
        <v>0.99852274965530829</v>
      </c>
      <c r="L73" s="227"/>
      <c r="M73" s="511"/>
      <c r="N73" s="116"/>
      <c r="P73" s="116"/>
      <c r="Q73" s="116"/>
    </row>
    <row r="74" spans="1:17" s="106" customFormat="1" ht="94.5" x14ac:dyDescent="0.25">
      <c r="A74" s="200" t="s">
        <v>365</v>
      </c>
      <c r="B74" s="148" t="s">
        <v>29</v>
      </c>
      <c r="C74" s="4" t="s">
        <v>48</v>
      </c>
      <c r="D74" s="541" t="s">
        <v>311</v>
      </c>
      <c r="E74" s="220"/>
      <c r="F74" s="123">
        <f>F75</f>
        <v>9138.6</v>
      </c>
      <c r="G74" s="227"/>
      <c r="H74" s="123">
        <f>H75</f>
        <v>9138.6</v>
      </c>
      <c r="I74" s="227"/>
      <c r="J74" s="313">
        <f>J75</f>
        <v>9125.1</v>
      </c>
      <c r="K74" s="511">
        <f t="shared" si="2"/>
        <v>0.99852274965530829</v>
      </c>
      <c r="L74" s="227"/>
      <c r="M74" s="511"/>
      <c r="N74" s="116"/>
      <c r="P74" s="116"/>
      <c r="Q74" s="116"/>
    </row>
    <row r="75" spans="1:17" s="106" customFormat="1" x14ac:dyDescent="0.25">
      <c r="A75" s="268" t="s">
        <v>121</v>
      </c>
      <c r="B75" s="148" t="s">
        <v>29</v>
      </c>
      <c r="C75" s="4" t="s">
        <v>48</v>
      </c>
      <c r="D75" s="541" t="s">
        <v>311</v>
      </c>
      <c r="E75" s="220">
        <v>200</v>
      </c>
      <c r="F75" s="123">
        <f>F76</f>
        <v>9138.6</v>
      </c>
      <c r="G75" s="227"/>
      <c r="H75" s="123">
        <f>H76</f>
        <v>9138.6</v>
      </c>
      <c r="I75" s="227"/>
      <c r="J75" s="313">
        <f>J76</f>
        <v>9125.1</v>
      </c>
      <c r="K75" s="511">
        <f t="shared" si="2"/>
        <v>0.99852274965530829</v>
      </c>
      <c r="L75" s="227"/>
      <c r="M75" s="511"/>
      <c r="N75" s="116"/>
      <c r="P75" s="116"/>
      <c r="Q75" s="116"/>
    </row>
    <row r="76" spans="1:17" s="106" customFormat="1" ht="31.5" x14ac:dyDescent="0.25">
      <c r="A76" s="268" t="s">
        <v>52</v>
      </c>
      <c r="B76" s="148" t="s">
        <v>29</v>
      </c>
      <c r="C76" s="4" t="s">
        <v>48</v>
      </c>
      <c r="D76" s="541" t="s">
        <v>311</v>
      </c>
      <c r="E76" s="220">
        <v>240</v>
      </c>
      <c r="F76" s="123">
        <f>'ведом. 2024-2026'!AD50</f>
        <v>9138.6</v>
      </c>
      <c r="G76" s="227"/>
      <c r="H76" s="123">
        <f>'ведом. 2024-2026'!AE50</f>
        <v>9138.6</v>
      </c>
      <c r="I76" s="227"/>
      <c r="J76" s="313">
        <f>'ведом. 2024-2026'!AF50</f>
        <v>9125.1</v>
      </c>
      <c r="K76" s="511">
        <f t="shared" ref="K76:K139" si="15">J76/H76</f>
        <v>0.99852274965530829</v>
      </c>
      <c r="L76" s="227"/>
      <c r="M76" s="511"/>
      <c r="N76" s="116"/>
      <c r="P76" s="116"/>
      <c r="Q76" s="116"/>
    </row>
    <row r="77" spans="1:17" s="106" customFormat="1" x14ac:dyDescent="0.25">
      <c r="A77" s="366" t="s">
        <v>344</v>
      </c>
      <c r="B77" s="349" t="s">
        <v>29</v>
      </c>
      <c r="C77" s="350" t="s">
        <v>48</v>
      </c>
      <c r="D77" s="570" t="s">
        <v>138</v>
      </c>
      <c r="E77" s="427"/>
      <c r="F77" s="123">
        <f>F78</f>
        <v>4475.6000000000004</v>
      </c>
      <c r="G77" s="123"/>
      <c r="H77" s="123">
        <f>H78</f>
        <v>4475.6000000000004</v>
      </c>
      <c r="I77" s="123"/>
      <c r="J77" s="313">
        <f t="shared" ref="J77:J79" si="16">J78</f>
        <v>4475.6000000000004</v>
      </c>
      <c r="K77" s="511">
        <f t="shared" si="15"/>
        <v>1</v>
      </c>
      <c r="L77" s="227"/>
      <c r="M77" s="511"/>
      <c r="N77" s="116"/>
      <c r="P77" s="116"/>
      <c r="Q77" s="116"/>
    </row>
    <row r="78" spans="1:17" s="106" customFormat="1" ht="31.5" x14ac:dyDescent="0.25">
      <c r="A78" s="347" t="s">
        <v>820</v>
      </c>
      <c r="B78" s="349" t="s">
        <v>29</v>
      </c>
      <c r="C78" s="350" t="s">
        <v>48</v>
      </c>
      <c r="D78" s="570" t="s">
        <v>819</v>
      </c>
      <c r="E78" s="427"/>
      <c r="F78" s="123">
        <f>F79</f>
        <v>4475.6000000000004</v>
      </c>
      <c r="G78" s="123"/>
      <c r="H78" s="123">
        <f>H79</f>
        <v>4475.6000000000004</v>
      </c>
      <c r="I78" s="123"/>
      <c r="J78" s="313">
        <f t="shared" si="16"/>
        <v>4475.6000000000004</v>
      </c>
      <c r="K78" s="511">
        <f t="shared" si="15"/>
        <v>1</v>
      </c>
      <c r="L78" s="227"/>
      <c r="M78" s="511"/>
      <c r="N78" s="116"/>
      <c r="P78" s="116"/>
      <c r="Q78" s="116"/>
    </row>
    <row r="79" spans="1:17" s="106" customFormat="1" ht="47.25" x14ac:dyDescent="0.25">
      <c r="A79" s="347" t="s">
        <v>41</v>
      </c>
      <c r="B79" s="349" t="s">
        <v>29</v>
      </c>
      <c r="C79" s="350" t="s">
        <v>48</v>
      </c>
      <c r="D79" s="570" t="s">
        <v>819</v>
      </c>
      <c r="E79" s="427">
        <v>100</v>
      </c>
      <c r="F79" s="123">
        <f>F80</f>
        <v>4475.6000000000004</v>
      </c>
      <c r="G79" s="123"/>
      <c r="H79" s="123">
        <f>H80</f>
        <v>4475.6000000000004</v>
      </c>
      <c r="I79" s="123"/>
      <c r="J79" s="313">
        <f t="shared" si="16"/>
        <v>4475.6000000000004</v>
      </c>
      <c r="K79" s="511">
        <f t="shared" si="15"/>
        <v>1</v>
      </c>
      <c r="L79" s="227"/>
      <c r="M79" s="511"/>
      <c r="N79" s="116"/>
      <c r="P79" s="116"/>
      <c r="Q79" s="116"/>
    </row>
    <row r="80" spans="1:17" s="106" customFormat="1" x14ac:dyDescent="0.25">
      <c r="A80" s="347" t="s">
        <v>97</v>
      </c>
      <c r="B80" s="349" t="s">
        <v>29</v>
      </c>
      <c r="C80" s="350" t="s">
        <v>48</v>
      </c>
      <c r="D80" s="570" t="s">
        <v>819</v>
      </c>
      <c r="E80" s="427">
        <v>120</v>
      </c>
      <c r="F80" s="123">
        <f>'ведом. 2024-2026'!AD54</f>
        <v>4475.6000000000004</v>
      </c>
      <c r="G80" s="227"/>
      <c r="H80" s="123">
        <f>'ведом. 2024-2026'!AD54</f>
        <v>4475.6000000000004</v>
      </c>
      <c r="I80" s="227"/>
      <c r="J80" s="313">
        <f>'ведом. 2024-2026'!AF54</f>
        <v>4475.6000000000004</v>
      </c>
      <c r="K80" s="511">
        <f t="shared" si="15"/>
        <v>1</v>
      </c>
      <c r="L80" s="227"/>
      <c r="M80" s="511"/>
      <c r="N80" s="116"/>
      <c r="P80" s="116"/>
      <c r="Q80" s="116"/>
    </row>
    <row r="81" spans="1:17" s="106" customFormat="1" ht="31.5" x14ac:dyDescent="0.25">
      <c r="A81" s="268" t="s">
        <v>71</v>
      </c>
      <c r="B81" s="148" t="s">
        <v>29</v>
      </c>
      <c r="C81" s="4" t="s">
        <v>96</v>
      </c>
      <c r="D81" s="530"/>
      <c r="E81" s="220"/>
      <c r="F81" s="123">
        <f>F82+F103</f>
        <v>44531.8</v>
      </c>
      <c r="G81" s="123"/>
      <c r="H81" s="123">
        <f>H82+H103</f>
        <v>44531.8</v>
      </c>
      <c r="I81" s="123"/>
      <c r="J81" s="313">
        <f>J82+J103</f>
        <v>44412.999999999993</v>
      </c>
      <c r="K81" s="511">
        <f t="shared" si="15"/>
        <v>0.9973322434754488</v>
      </c>
      <c r="L81" s="227"/>
      <c r="M81" s="511"/>
      <c r="N81" s="116"/>
      <c r="P81" s="116"/>
      <c r="Q81" s="116"/>
    </row>
    <row r="82" spans="1:17" s="106" customFormat="1" x14ac:dyDescent="0.25">
      <c r="A82" s="199" t="s">
        <v>187</v>
      </c>
      <c r="B82" s="148" t="s">
        <v>29</v>
      </c>
      <c r="C82" s="4" t="s">
        <v>96</v>
      </c>
      <c r="D82" s="568" t="s">
        <v>113</v>
      </c>
      <c r="E82" s="220"/>
      <c r="F82" s="123">
        <f>F83</f>
        <v>33131.599999999999</v>
      </c>
      <c r="G82" s="227"/>
      <c r="H82" s="123">
        <f>H83</f>
        <v>33131.599999999999</v>
      </c>
      <c r="I82" s="227"/>
      <c r="J82" s="313">
        <f>J83</f>
        <v>33030.299999999996</v>
      </c>
      <c r="K82" s="511">
        <f t="shared" si="15"/>
        <v>0.99694249598570539</v>
      </c>
      <c r="L82" s="227"/>
      <c r="M82" s="511"/>
      <c r="N82" s="116"/>
      <c r="P82" s="116"/>
      <c r="Q82" s="116"/>
    </row>
    <row r="83" spans="1:17" s="106" customFormat="1" x14ac:dyDescent="0.25">
      <c r="A83" s="199" t="s">
        <v>191</v>
      </c>
      <c r="B83" s="148" t="s">
        <v>29</v>
      </c>
      <c r="C83" s="4" t="s">
        <v>96</v>
      </c>
      <c r="D83" s="568" t="s">
        <v>192</v>
      </c>
      <c r="E83" s="220"/>
      <c r="F83" s="123">
        <f>F84+F99</f>
        <v>33131.599999999999</v>
      </c>
      <c r="G83" s="123"/>
      <c r="H83" s="123">
        <f>H84+H99</f>
        <v>33131.599999999999</v>
      </c>
      <c r="I83" s="123"/>
      <c r="J83" s="313">
        <f>J84+J99</f>
        <v>33030.299999999996</v>
      </c>
      <c r="K83" s="511">
        <f t="shared" si="15"/>
        <v>0.99694249598570539</v>
      </c>
      <c r="L83" s="227"/>
      <c r="M83" s="511"/>
      <c r="N83" s="116"/>
      <c r="P83" s="116"/>
      <c r="Q83" s="116"/>
    </row>
    <row r="84" spans="1:17" s="106" customFormat="1" ht="31.5" x14ac:dyDescent="0.25">
      <c r="A84" s="199" t="s">
        <v>193</v>
      </c>
      <c r="B84" s="148" t="s">
        <v>29</v>
      </c>
      <c r="C84" s="4" t="s">
        <v>96</v>
      </c>
      <c r="D84" s="568" t="s">
        <v>194</v>
      </c>
      <c r="E84" s="220"/>
      <c r="F84" s="123">
        <f>F85</f>
        <v>33007.1</v>
      </c>
      <c r="G84" s="227"/>
      <c r="H84" s="123">
        <f>H85</f>
        <v>33007.1</v>
      </c>
      <c r="I84" s="227"/>
      <c r="J84" s="313">
        <f>J85</f>
        <v>32905.799999999996</v>
      </c>
      <c r="K84" s="511">
        <f t="shared" si="15"/>
        <v>0.99693096333819076</v>
      </c>
      <c r="L84" s="227"/>
      <c r="M84" s="511"/>
      <c r="N84" s="116"/>
      <c r="P84" s="116"/>
      <c r="Q84" s="116"/>
    </row>
    <row r="85" spans="1:17" s="106" customFormat="1" x14ac:dyDescent="0.25">
      <c r="A85" s="200" t="s">
        <v>211</v>
      </c>
      <c r="B85" s="148" t="s">
        <v>29</v>
      </c>
      <c r="C85" s="4" t="s">
        <v>96</v>
      </c>
      <c r="D85" s="541" t="s">
        <v>212</v>
      </c>
      <c r="E85" s="220"/>
      <c r="F85" s="123">
        <f>F86+F93+F96</f>
        <v>33007.1</v>
      </c>
      <c r="G85" s="227"/>
      <c r="H85" s="123">
        <f>H86+H93+H96</f>
        <v>33007.1</v>
      </c>
      <c r="I85" s="227"/>
      <c r="J85" s="313">
        <f>J86+J93+J96</f>
        <v>32905.799999999996</v>
      </c>
      <c r="K85" s="511">
        <f t="shared" si="15"/>
        <v>0.99693096333819076</v>
      </c>
      <c r="L85" s="227"/>
      <c r="M85" s="511"/>
      <c r="N85" s="116"/>
      <c r="P85" s="116"/>
      <c r="Q85" s="116"/>
    </row>
    <row r="86" spans="1:17" s="106" customFormat="1" ht="31.5" x14ac:dyDescent="0.25">
      <c r="A86" s="268" t="s">
        <v>213</v>
      </c>
      <c r="B86" s="148" t="s">
        <v>29</v>
      </c>
      <c r="C86" s="4" t="s">
        <v>96</v>
      </c>
      <c r="D86" s="541" t="s">
        <v>214</v>
      </c>
      <c r="E86" s="220"/>
      <c r="F86" s="123">
        <f>F87+F89</f>
        <v>2996.7999999999997</v>
      </c>
      <c r="G86" s="123"/>
      <c r="H86" s="123">
        <f>H87+H89+H91</f>
        <v>2996.7999999999997</v>
      </c>
      <c r="I86" s="123"/>
      <c r="J86" s="313">
        <f>J87+J89+J91</f>
        <v>2896.3</v>
      </c>
      <c r="K86" s="511">
        <f t="shared" si="15"/>
        <v>0.96646422851041125</v>
      </c>
      <c r="L86" s="227"/>
      <c r="M86" s="511"/>
      <c r="N86" s="116"/>
      <c r="P86" s="116"/>
      <c r="Q86" s="116"/>
    </row>
    <row r="87" spans="1:17" s="106" customFormat="1" x14ac:dyDescent="0.25">
      <c r="A87" s="268" t="s">
        <v>121</v>
      </c>
      <c r="B87" s="148" t="s">
        <v>29</v>
      </c>
      <c r="C87" s="4" t="s">
        <v>96</v>
      </c>
      <c r="D87" s="541" t="s">
        <v>214</v>
      </c>
      <c r="E87" s="220">
        <v>200</v>
      </c>
      <c r="F87" s="123">
        <f>F88</f>
        <v>2991.3999999999996</v>
      </c>
      <c r="G87" s="227"/>
      <c r="H87" s="123">
        <f>H88</f>
        <v>2991.2999999999997</v>
      </c>
      <c r="I87" s="227"/>
      <c r="J87" s="313">
        <f>J88</f>
        <v>2890.8</v>
      </c>
      <c r="K87" s="511">
        <f t="shared" si="15"/>
        <v>0.96640256744559239</v>
      </c>
      <c r="L87" s="227"/>
      <c r="M87" s="511"/>
      <c r="N87" s="116"/>
      <c r="P87" s="116"/>
      <c r="Q87" s="116"/>
    </row>
    <row r="88" spans="1:17" s="106" customFormat="1" ht="31.5" x14ac:dyDescent="0.25">
      <c r="A88" s="268" t="s">
        <v>52</v>
      </c>
      <c r="B88" s="148" t="s">
        <v>29</v>
      </c>
      <c r="C88" s="4" t="s">
        <v>96</v>
      </c>
      <c r="D88" s="541" t="s">
        <v>214</v>
      </c>
      <c r="E88" s="220">
        <v>240</v>
      </c>
      <c r="F88" s="123">
        <f>'ведом. 2024-2026'!AD535</f>
        <v>2991.3999999999996</v>
      </c>
      <c r="G88" s="227"/>
      <c r="H88" s="123">
        <f>'ведом. 2024-2026'!AE535</f>
        <v>2991.2999999999997</v>
      </c>
      <c r="I88" s="227"/>
      <c r="J88" s="313">
        <f>'ведом. 2024-2026'!AF535</f>
        <v>2890.8</v>
      </c>
      <c r="K88" s="511">
        <f t="shared" si="15"/>
        <v>0.96640256744559239</v>
      </c>
      <c r="L88" s="227"/>
      <c r="M88" s="511"/>
      <c r="N88" s="116"/>
      <c r="P88" s="116"/>
      <c r="Q88" s="116"/>
    </row>
    <row r="89" spans="1:17" s="106" customFormat="1" x14ac:dyDescent="0.25">
      <c r="A89" s="197" t="s">
        <v>98</v>
      </c>
      <c r="B89" s="148" t="s">
        <v>29</v>
      </c>
      <c r="C89" s="4" t="s">
        <v>96</v>
      </c>
      <c r="D89" s="541" t="s">
        <v>214</v>
      </c>
      <c r="E89" s="220">
        <v>300</v>
      </c>
      <c r="F89" s="123">
        <f>F90</f>
        <v>5.4</v>
      </c>
      <c r="G89" s="123"/>
      <c r="H89" s="123">
        <f>H90</f>
        <v>5.4</v>
      </c>
      <c r="I89" s="123"/>
      <c r="J89" s="313">
        <f>J90</f>
        <v>5.4</v>
      </c>
      <c r="K89" s="511">
        <f t="shared" si="15"/>
        <v>1</v>
      </c>
      <c r="L89" s="227"/>
      <c r="M89" s="511"/>
      <c r="N89" s="116"/>
      <c r="P89" s="116"/>
      <c r="Q89" s="116"/>
    </row>
    <row r="90" spans="1:17" s="106" customFormat="1" x14ac:dyDescent="0.25">
      <c r="A90" s="197" t="s">
        <v>40</v>
      </c>
      <c r="B90" s="148" t="s">
        <v>29</v>
      </c>
      <c r="C90" s="4" t="s">
        <v>96</v>
      </c>
      <c r="D90" s="541" t="s">
        <v>214</v>
      </c>
      <c r="E90" s="220">
        <v>320</v>
      </c>
      <c r="F90" s="123">
        <f>'ведом. 2024-2026'!AD537</f>
        <v>5.4</v>
      </c>
      <c r="G90" s="227"/>
      <c r="H90" s="123">
        <f>'ведом. 2024-2026'!AE537</f>
        <v>5.4</v>
      </c>
      <c r="I90" s="227"/>
      <c r="J90" s="313">
        <f>'ведом. 2024-2026'!AF537</f>
        <v>5.4</v>
      </c>
      <c r="K90" s="511">
        <f t="shared" si="15"/>
        <v>1</v>
      </c>
      <c r="L90" s="227"/>
      <c r="M90" s="511"/>
      <c r="N90" s="116"/>
      <c r="P90" s="116"/>
      <c r="Q90" s="116"/>
    </row>
    <row r="91" spans="1:17" s="106" customFormat="1" x14ac:dyDescent="0.25">
      <c r="A91" s="347" t="s">
        <v>42</v>
      </c>
      <c r="B91" s="349" t="s">
        <v>29</v>
      </c>
      <c r="C91" s="350" t="s">
        <v>96</v>
      </c>
      <c r="D91" s="571" t="s">
        <v>214</v>
      </c>
      <c r="E91" s="427">
        <v>800</v>
      </c>
      <c r="F91" s="123">
        <f>F92</f>
        <v>0</v>
      </c>
      <c r="G91" s="123"/>
      <c r="H91" s="123">
        <f t="shared" ref="H91:J91" si="17">H92</f>
        <v>0.1</v>
      </c>
      <c r="I91" s="123"/>
      <c r="J91" s="313">
        <f t="shared" si="17"/>
        <v>0.1</v>
      </c>
      <c r="K91" s="511">
        <f t="shared" si="15"/>
        <v>1</v>
      </c>
      <c r="L91" s="227"/>
      <c r="M91" s="511"/>
      <c r="N91" s="116"/>
      <c r="P91" s="116"/>
      <c r="Q91" s="116"/>
    </row>
    <row r="92" spans="1:17" s="106" customFormat="1" x14ac:dyDescent="0.25">
      <c r="A92" s="347" t="s">
        <v>58</v>
      </c>
      <c r="B92" s="349" t="s">
        <v>29</v>
      </c>
      <c r="C92" s="350" t="s">
        <v>96</v>
      </c>
      <c r="D92" s="571" t="s">
        <v>214</v>
      </c>
      <c r="E92" s="427">
        <v>850</v>
      </c>
      <c r="F92" s="123">
        <f>'ведом. 2024-2026'!AD539</f>
        <v>0</v>
      </c>
      <c r="G92" s="227"/>
      <c r="H92" s="123">
        <f>'ведом. 2024-2026'!AE539</f>
        <v>0.1</v>
      </c>
      <c r="I92" s="227"/>
      <c r="J92" s="313">
        <f>'ведом. 2024-2026'!AF539</f>
        <v>0.1</v>
      </c>
      <c r="K92" s="511">
        <f t="shared" si="15"/>
        <v>1</v>
      </c>
      <c r="L92" s="227"/>
      <c r="M92" s="511"/>
      <c r="N92" s="116"/>
      <c r="P92" s="116"/>
      <c r="Q92" s="116"/>
    </row>
    <row r="93" spans="1:17" s="106" customFormat="1" ht="31.5" x14ac:dyDescent="0.25">
      <c r="A93" s="268" t="s">
        <v>218</v>
      </c>
      <c r="B93" s="148" t="s">
        <v>29</v>
      </c>
      <c r="C93" s="4" t="s">
        <v>96</v>
      </c>
      <c r="D93" s="458" t="str">
        <f>D94</f>
        <v>12 5 01 00162</v>
      </c>
      <c r="E93" s="220"/>
      <c r="F93" s="123">
        <f>F95</f>
        <v>18972.100000000002</v>
      </c>
      <c r="G93" s="227"/>
      <c r="H93" s="123">
        <f>H95</f>
        <v>18972.100000000002</v>
      </c>
      <c r="I93" s="227"/>
      <c r="J93" s="313">
        <f>J95</f>
        <v>18971.599999999999</v>
      </c>
      <c r="K93" s="511">
        <f t="shared" si="15"/>
        <v>0.99997364551103973</v>
      </c>
      <c r="L93" s="227"/>
      <c r="M93" s="511"/>
      <c r="N93" s="116"/>
      <c r="P93" s="116"/>
      <c r="Q93" s="116"/>
    </row>
    <row r="94" spans="1:17" s="106" customFormat="1" ht="47.25" x14ac:dyDescent="0.25">
      <c r="A94" s="268" t="s">
        <v>41</v>
      </c>
      <c r="B94" s="148" t="s">
        <v>29</v>
      </c>
      <c r="C94" s="4" t="s">
        <v>96</v>
      </c>
      <c r="D94" s="458" t="str">
        <f>D95</f>
        <v>12 5 01 00162</v>
      </c>
      <c r="E94" s="220">
        <v>100</v>
      </c>
      <c r="F94" s="123">
        <f>F95</f>
        <v>18972.100000000002</v>
      </c>
      <c r="G94" s="227"/>
      <c r="H94" s="123">
        <f>H95</f>
        <v>18972.100000000002</v>
      </c>
      <c r="I94" s="227"/>
      <c r="J94" s="313">
        <f>J95</f>
        <v>18971.599999999999</v>
      </c>
      <c r="K94" s="511">
        <f t="shared" si="15"/>
        <v>0.99997364551103973</v>
      </c>
      <c r="L94" s="227"/>
      <c r="M94" s="511"/>
      <c r="N94" s="116"/>
      <c r="P94" s="116"/>
      <c r="Q94" s="116"/>
    </row>
    <row r="95" spans="1:17" s="106" customFormat="1" x14ac:dyDescent="0.25">
      <c r="A95" s="268" t="s">
        <v>97</v>
      </c>
      <c r="B95" s="148" t="s">
        <v>29</v>
      </c>
      <c r="C95" s="4" t="s">
        <v>96</v>
      </c>
      <c r="D95" s="541" t="s">
        <v>215</v>
      </c>
      <c r="E95" s="220">
        <v>120</v>
      </c>
      <c r="F95" s="123">
        <f>'ведом. 2024-2026'!AD542</f>
        <v>18972.100000000002</v>
      </c>
      <c r="G95" s="227"/>
      <c r="H95" s="123">
        <f>'ведом. 2024-2026'!AE542</f>
        <v>18972.100000000002</v>
      </c>
      <c r="I95" s="227"/>
      <c r="J95" s="313">
        <f>'ведом. 2024-2026'!AF542</f>
        <v>18971.599999999999</v>
      </c>
      <c r="K95" s="511">
        <f t="shared" si="15"/>
        <v>0.99997364551103973</v>
      </c>
      <c r="L95" s="227"/>
      <c r="M95" s="511"/>
      <c r="N95" s="116"/>
      <c r="P95" s="116"/>
      <c r="Q95" s="116"/>
    </row>
    <row r="96" spans="1:17" s="106" customFormat="1" ht="31.5" x14ac:dyDescent="0.25">
      <c r="A96" s="268" t="s">
        <v>217</v>
      </c>
      <c r="B96" s="148" t="s">
        <v>29</v>
      </c>
      <c r="C96" s="4" t="s">
        <v>96</v>
      </c>
      <c r="D96" s="458" t="str">
        <f>D97</f>
        <v>12 5 01 00163</v>
      </c>
      <c r="E96" s="220"/>
      <c r="F96" s="123">
        <f>F97</f>
        <v>11038.199999999999</v>
      </c>
      <c r="G96" s="227"/>
      <c r="H96" s="123">
        <f>H97</f>
        <v>11038.199999999999</v>
      </c>
      <c r="I96" s="227"/>
      <c r="J96" s="313">
        <f>J97</f>
        <v>11037.9</v>
      </c>
      <c r="K96" s="511">
        <f t="shared" si="15"/>
        <v>0.99997282165570478</v>
      </c>
      <c r="L96" s="227"/>
      <c r="M96" s="511"/>
      <c r="N96" s="116"/>
      <c r="P96" s="116"/>
      <c r="Q96" s="116"/>
    </row>
    <row r="97" spans="1:17" s="106" customFormat="1" ht="47.25" x14ac:dyDescent="0.25">
      <c r="A97" s="268" t="s">
        <v>41</v>
      </c>
      <c r="B97" s="148" t="s">
        <v>29</v>
      </c>
      <c r="C97" s="4" t="s">
        <v>96</v>
      </c>
      <c r="D97" s="458" t="str">
        <f>D98</f>
        <v>12 5 01 00163</v>
      </c>
      <c r="E97" s="220">
        <v>100</v>
      </c>
      <c r="F97" s="123">
        <f>F98</f>
        <v>11038.199999999999</v>
      </c>
      <c r="G97" s="227"/>
      <c r="H97" s="123">
        <f>H98</f>
        <v>11038.199999999999</v>
      </c>
      <c r="I97" s="227"/>
      <c r="J97" s="313">
        <f>J98</f>
        <v>11037.9</v>
      </c>
      <c r="K97" s="511">
        <f t="shared" si="15"/>
        <v>0.99997282165570478</v>
      </c>
      <c r="L97" s="227"/>
      <c r="M97" s="511"/>
      <c r="N97" s="116"/>
      <c r="P97" s="116"/>
      <c r="Q97" s="116"/>
    </row>
    <row r="98" spans="1:17" s="106" customFormat="1" x14ac:dyDescent="0.25">
      <c r="A98" s="268" t="s">
        <v>97</v>
      </c>
      <c r="B98" s="148" t="s">
        <v>29</v>
      </c>
      <c r="C98" s="4" t="s">
        <v>96</v>
      </c>
      <c r="D98" s="541" t="s">
        <v>216</v>
      </c>
      <c r="E98" s="220">
        <v>120</v>
      </c>
      <c r="F98" s="123">
        <f>'ведом. 2024-2026'!AD545</f>
        <v>11038.199999999999</v>
      </c>
      <c r="G98" s="227"/>
      <c r="H98" s="123">
        <f>'ведом. 2024-2026'!AE545</f>
        <v>11038.199999999999</v>
      </c>
      <c r="I98" s="227"/>
      <c r="J98" s="313">
        <f>'ведом. 2024-2026'!AF545</f>
        <v>11037.9</v>
      </c>
      <c r="K98" s="511">
        <f t="shared" si="15"/>
        <v>0.99997282165570478</v>
      </c>
      <c r="L98" s="227"/>
      <c r="M98" s="511"/>
      <c r="N98" s="116"/>
      <c r="P98" s="116"/>
      <c r="Q98" s="116"/>
    </row>
    <row r="99" spans="1:17" s="106" customFormat="1" ht="31.5" x14ac:dyDescent="0.25">
      <c r="A99" s="197" t="s">
        <v>572</v>
      </c>
      <c r="B99" s="148" t="s">
        <v>29</v>
      </c>
      <c r="C99" s="4" t="s">
        <v>96</v>
      </c>
      <c r="D99" s="572" t="s">
        <v>573</v>
      </c>
      <c r="E99" s="220"/>
      <c r="F99" s="123">
        <f>F100</f>
        <v>124.5</v>
      </c>
      <c r="G99" s="123"/>
      <c r="H99" s="123">
        <f>H100</f>
        <v>124.5</v>
      </c>
      <c r="I99" s="123"/>
      <c r="J99" s="313">
        <f t="shared" ref="J99:J101" si="18">J100</f>
        <v>124.5</v>
      </c>
      <c r="K99" s="511">
        <f t="shared" si="15"/>
        <v>1</v>
      </c>
      <c r="L99" s="227"/>
      <c r="M99" s="511"/>
      <c r="N99" s="116"/>
      <c r="P99" s="116"/>
      <c r="Q99" s="116"/>
    </row>
    <row r="100" spans="1:17" s="106" customFormat="1" ht="78.75" x14ac:dyDescent="0.25">
      <c r="A100" s="197" t="s">
        <v>432</v>
      </c>
      <c r="B100" s="148" t="s">
        <v>29</v>
      </c>
      <c r="C100" s="4" t="s">
        <v>96</v>
      </c>
      <c r="D100" s="211" t="s">
        <v>574</v>
      </c>
      <c r="E100" s="220"/>
      <c r="F100" s="123">
        <f>F101</f>
        <v>124.5</v>
      </c>
      <c r="G100" s="123"/>
      <c r="H100" s="123">
        <f>H101</f>
        <v>124.5</v>
      </c>
      <c r="I100" s="123"/>
      <c r="J100" s="313">
        <f t="shared" si="18"/>
        <v>124.5</v>
      </c>
      <c r="K100" s="511">
        <f t="shared" si="15"/>
        <v>1</v>
      </c>
      <c r="L100" s="227"/>
      <c r="M100" s="511"/>
      <c r="N100" s="116"/>
      <c r="P100" s="116"/>
      <c r="Q100" s="116"/>
    </row>
    <row r="101" spans="1:17" s="106" customFormat="1" x14ac:dyDescent="0.25">
      <c r="A101" s="197" t="s">
        <v>121</v>
      </c>
      <c r="B101" s="148" t="s">
        <v>29</v>
      </c>
      <c r="C101" s="4" t="s">
        <v>96</v>
      </c>
      <c r="D101" s="211" t="s">
        <v>574</v>
      </c>
      <c r="E101" s="220">
        <v>200</v>
      </c>
      <c r="F101" s="123">
        <f>F102</f>
        <v>124.5</v>
      </c>
      <c r="G101" s="123"/>
      <c r="H101" s="123">
        <f>H102</f>
        <v>124.5</v>
      </c>
      <c r="I101" s="123"/>
      <c r="J101" s="313">
        <f t="shared" si="18"/>
        <v>124.5</v>
      </c>
      <c r="K101" s="511">
        <f t="shared" si="15"/>
        <v>1</v>
      </c>
      <c r="L101" s="227"/>
      <c r="M101" s="511"/>
      <c r="N101" s="116"/>
      <c r="P101" s="116"/>
      <c r="Q101" s="116"/>
    </row>
    <row r="102" spans="1:17" s="106" customFormat="1" ht="31.5" x14ac:dyDescent="0.25">
      <c r="A102" s="197" t="s">
        <v>52</v>
      </c>
      <c r="B102" s="148" t="s">
        <v>29</v>
      </c>
      <c r="C102" s="4" t="s">
        <v>96</v>
      </c>
      <c r="D102" s="211" t="s">
        <v>574</v>
      </c>
      <c r="E102" s="220">
        <v>240</v>
      </c>
      <c r="F102" s="123">
        <f>'ведом. 2024-2026'!AD549</f>
        <v>124.5</v>
      </c>
      <c r="G102" s="227"/>
      <c r="H102" s="123">
        <f>'ведом. 2024-2026'!AE549</f>
        <v>124.5</v>
      </c>
      <c r="I102" s="227"/>
      <c r="J102" s="313">
        <f>'ведом. 2024-2026'!AF549</f>
        <v>124.5</v>
      </c>
      <c r="K102" s="511">
        <f t="shared" si="15"/>
        <v>1</v>
      </c>
      <c r="L102" s="227"/>
      <c r="M102" s="511"/>
      <c r="N102" s="116"/>
      <c r="P102" s="116"/>
      <c r="Q102" s="116"/>
    </row>
    <row r="103" spans="1:17" s="106" customFormat="1" ht="31.5" x14ac:dyDescent="0.25">
      <c r="A103" s="199" t="s">
        <v>282</v>
      </c>
      <c r="B103" s="148" t="s">
        <v>29</v>
      </c>
      <c r="C103" s="4" t="s">
        <v>96</v>
      </c>
      <c r="D103" s="568" t="s">
        <v>100</v>
      </c>
      <c r="E103" s="220"/>
      <c r="F103" s="123">
        <f>F104</f>
        <v>11400.2</v>
      </c>
      <c r="G103" s="227"/>
      <c r="H103" s="123">
        <f>H104</f>
        <v>11400.2</v>
      </c>
      <c r="I103" s="227"/>
      <c r="J103" s="313">
        <f>J104</f>
        <v>11382.699999999999</v>
      </c>
      <c r="K103" s="511">
        <f t="shared" si="15"/>
        <v>0.99846493921159263</v>
      </c>
      <c r="L103" s="227"/>
      <c r="M103" s="511"/>
      <c r="N103" s="116"/>
      <c r="P103" s="116"/>
      <c r="Q103" s="116"/>
    </row>
    <row r="104" spans="1:17" s="106" customFormat="1" x14ac:dyDescent="0.25">
      <c r="A104" s="200" t="s">
        <v>280</v>
      </c>
      <c r="B104" s="148" t="s">
        <v>29</v>
      </c>
      <c r="C104" s="4" t="s">
        <v>96</v>
      </c>
      <c r="D104" s="568" t="s">
        <v>281</v>
      </c>
      <c r="E104" s="220"/>
      <c r="F104" s="123">
        <f>F105+F108+F111+F114</f>
        <v>11400.2</v>
      </c>
      <c r="G104" s="227"/>
      <c r="H104" s="123">
        <f>H105+H108+H111+H114</f>
        <v>11400.2</v>
      </c>
      <c r="I104" s="227"/>
      <c r="J104" s="313">
        <f>J105+J108+J111+J114</f>
        <v>11382.699999999999</v>
      </c>
      <c r="K104" s="511">
        <f t="shared" si="15"/>
        <v>0.99846493921159263</v>
      </c>
      <c r="L104" s="227"/>
      <c r="M104" s="511"/>
      <c r="N104" s="116"/>
      <c r="P104" s="116"/>
      <c r="Q104" s="116"/>
    </row>
    <row r="105" spans="1:17" s="106" customFormat="1" x14ac:dyDescent="0.25">
      <c r="A105" s="268" t="s">
        <v>283</v>
      </c>
      <c r="B105" s="148" t="s">
        <v>29</v>
      </c>
      <c r="C105" s="4" t="s">
        <v>96</v>
      </c>
      <c r="D105" s="568" t="s">
        <v>284</v>
      </c>
      <c r="E105" s="220"/>
      <c r="F105" s="123">
        <f>F106</f>
        <v>1251.9000000000001</v>
      </c>
      <c r="G105" s="227"/>
      <c r="H105" s="123">
        <f>H106</f>
        <v>1251.9000000000001</v>
      </c>
      <c r="I105" s="227"/>
      <c r="J105" s="313">
        <f>J106</f>
        <v>1250.3</v>
      </c>
      <c r="K105" s="511">
        <f t="shared" si="15"/>
        <v>0.99872194264717618</v>
      </c>
      <c r="L105" s="227"/>
      <c r="M105" s="511"/>
      <c r="N105" s="116"/>
      <c r="P105" s="116"/>
      <c r="Q105" s="116"/>
    </row>
    <row r="106" spans="1:17" s="106" customFormat="1" x14ac:dyDescent="0.25">
      <c r="A106" s="268" t="s">
        <v>121</v>
      </c>
      <c r="B106" s="148" t="s">
        <v>29</v>
      </c>
      <c r="C106" s="4" t="s">
        <v>96</v>
      </c>
      <c r="D106" s="568" t="s">
        <v>284</v>
      </c>
      <c r="E106" s="220">
        <v>200</v>
      </c>
      <c r="F106" s="123">
        <f>F107</f>
        <v>1251.9000000000001</v>
      </c>
      <c r="G106" s="227"/>
      <c r="H106" s="123">
        <f>H107</f>
        <v>1251.9000000000001</v>
      </c>
      <c r="I106" s="227"/>
      <c r="J106" s="313">
        <f>J107</f>
        <v>1250.3</v>
      </c>
      <c r="K106" s="511">
        <f t="shared" si="15"/>
        <v>0.99872194264717618</v>
      </c>
      <c r="L106" s="227"/>
      <c r="M106" s="511"/>
      <c r="N106" s="116"/>
      <c r="P106" s="116"/>
      <c r="Q106" s="116"/>
    </row>
    <row r="107" spans="1:17" s="106" customFormat="1" ht="31.5" x14ac:dyDescent="0.25">
      <c r="A107" s="268" t="s">
        <v>52</v>
      </c>
      <c r="B107" s="148" t="s">
        <v>29</v>
      </c>
      <c r="C107" s="4" t="s">
        <v>96</v>
      </c>
      <c r="D107" s="568" t="s">
        <v>284</v>
      </c>
      <c r="E107" s="220">
        <v>240</v>
      </c>
      <c r="F107" s="123">
        <f>'ведом. 2024-2026'!AD1031</f>
        <v>1251.9000000000001</v>
      </c>
      <c r="G107" s="227"/>
      <c r="H107" s="123">
        <f>'ведом. 2024-2026'!AE1031</f>
        <v>1251.9000000000001</v>
      </c>
      <c r="I107" s="227"/>
      <c r="J107" s="313">
        <f>'ведом. 2024-2026'!AF1031</f>
        <v>1250.3</v>
      </c>
      <c r="K107" s="511">
        <f t="shared" si="15"/>
        <v>0.99872194264717618</v>
      </c>
      <c r="L107" s="227"/>
      <c r="M107" s="511"/>
      <c r="N107" s="116"/>
      <c r="P107" s="116"/>
      <c r="Q107" s="116"/>
    </row>
    <row r="108" spans="1:17" s="106" customFormat="1" ht="31.5" x14ac:dyDescent="0.25">
      <c r="A108" s="268" t="s">
        <v>285</v>
      </c>
      <c r="B108" s="148" t="s">
        <v>29</v>
      </c>
      <c r="C108" s="4" t="s">
        <v>96</v>
      </c>
      <c r="D108" s="568" t="s">
        <v>286</v>
      </c>
      <c r="E108" s="220"/>
      <c r="F108" s="123">
        <f>F109</f>
        <v>2758.9000000000005</v>
      </c>
      <c r="G108" s="227"/>
      <c r="H108" s="123">
        <f>H109</f>
        <v>2758.9000000000005</v>
      </c>
      <c r="I108" s="227"/>
      <c r="J108" s="313">
        <f>J109</f>
        <v>2758.9</v>
      </c>
      <c r="K108" s="511">
        <f t="shared" si="15"/>
        <v>0.99999999999999989</v>
      </c>
      <c r="L108" s="227"/>
      <c r="M108" s="511"/>
      <c r="N108" s="116"/>
      <c r="P108" s="116"/>
      <c r="Q108" s="116"/>
    </row>
    <row r="109" spans="1:17" s="106" customFormat="1" ht="47.25" x14ac:dyDescent="0.25">
      <c r="A109" s="268" t="s">
        <v>41</v>
      </c>
      <c r="B109" s="148" t="s">
        <v>29</v>
      </c>
      <c r="C109" s="4" t="s">
        <v>96</v>
      </c>
      <c r="D109" s="568" t="s">
        <v>286</v>
      </c>
      <c r="E109" s="220">
        <v>100</v>
      </c>
      <c r="F109" s="123">
        <f>F110</f>
        <v>2758.9000000000005</v>
      </c>
      <c r="G109" s="227"/>
      <c r="H109" s="123">
        <f>H110</f>
        <v>2758.9000000000005</v>
      </c>
      <c r="I109" s="227"/>
      <c r="J109" s="313">
        <f>J110</f>
        <v>2758.9</v>
      </c>
      <c r="K109" s="511">
        <f t="shared" si="15"/>
        <v>0.99999999999999989</v>
      </c>
      <c r="L109" s="227"/>
      <c r="M109" s="511"/>
      <c r="N109" s="116"/>
      <c r="P109" s="116"/>
      <c r="Q109" s="116"/>
    </row>
    <row r="110" spans="1:17" s="106" customFormat="1" x14ac:dyDescent="0.25">
      <c r="A110" s="268" t="s">
        <v>97</v>
      </c>
      <c r="B110" s="148" t="s">
        <v>29</v>
      </c>
      <c r="C110" s="4" t="s">
        <v>96</v>
      </c>
      <c r="D110" s="568" t="s">
        <v>286</v>
      </c>
      <c r="E110" s="220">
        <v>120</v>
      </c>
      <c r="F110" s="123">
        <f>'ведом. 2024-2026'!AD1034</f>
        <v>2758.9000000000005</v>
      </c>
      <c r="G110" s="227"/>
      <c r="H110" s="123">
        <f>'ведом. 2024-2026'!AE1034</f>
        <v>2758.9000000000005</v>
      </c>
      <c r="I110" s="227"/>
      <c r="J110" s="313">
        <f>'ведом. 2024-2026'!AF1034</f>
        <v>2758.9</v>
      </c>
      <c r="K110" s="511">
        <f t="shared" si="15"/>
        <v>0.99999999999999989</v>
      </c>
      <c r="L110" s="227"/>
      <c r="M110" s="511"/>
      <c r="N110" s="116"/>
      <c r="P110" s="116"/>
      <c r="Q110" s="116"/>
    </row>
    <row r="111" spans="1:17" s="106" customFormat="1" ht="31.5" x14ac:dyDescent="0.25">
      <c r="A111" s="268" t="s">
        <v>288</v>
      </c>
      <c r="B111" s="148" t="s">
        <v>29</v>
      </c>
      <c r="C111" s="4" t="s">
        <v>96</v>
      </c>
      <c r="D111" s="568" t="s">
        <v>287</v>
      </c>
      <c r="E111" s="220"/>
      <c r="F111" s="123">
        <f>F112</f>
        <v>4587.3</v>
      </c>
      <c r="G111" s="227"/>
      <c r="H111" s="123">
        <f>H112</f>
        <v>4587.3</v>
      </c>
      <c r="I111" s="227"/>
      <c r="J111" s="313">
        <f>J112</f>
        <v>4571.3999999999996</v>
      </c>
      <c r="K111" s="511">
        <f t="shared" si="15"/>
        <v>0.99653390883526249</v>
      </c>
      <c r="L111" s="227"/>
      <c r="M111" s="511"/>
      <c r="N111" s="116"/>
      <c r="P111" s="116"/>
      <c r="Q111" s="116"/>
    </row>
    <row r="112" spans="1:17" s="106" customFormat="1" ht="47.25" x14ac:dyDescent="0.25">
      <c r="A112" s="268" t="s">
        <v>41</v>
      </c>
      <c r="B112" s="148" t="s">
        <v>29</v>
      </c>
      <c r="C112" s="4" t="s">
        <v>96</v>
      </c>
      <c r="D112" s="568" t="s">
        <v>287</v>
      </c>
      <c r="E112" s="220">
        <v>100</v>
      </c>
      <c r="F112" s="123">
        <f>F113</f>
        <v>4587.3</v>
      </c>
      <c r="G112" s="227"/>
      <c r="H112" s="123">
        <f>H113</f>
        <v>4587.3</v>
      </c>
      <c r="I112" s="227"/>
      <c r="J112" s="313">
        <f>J113</f>
        <v>4571.3999999999996</v>
      </c>
      <c r="K112" s="511">
        <f t="shared" si="15"/>
        <v>0.99653390883526249</v>
      </c>
      <c r="L112" s="227"/>
      <c r="M112" s="511"/>
      <c r="N112" s="116"/>
      <c r="P112" s="116"/>
      <c r="Q112" s="116"/>
    </row>
    <row r="113" spans="1:17" s="106" customFormat="1" x14ac:dyDescent="0.25">
      <c r="A113" s="268" t="s">
        <v>97</v>
      </c>
      <c r="B113" s="148" t="s">
        <v>29</v>
      </c>
      <c r="C113" s="4" t="s">
        <v>96</v>
      </c>
      <c r="D113" s="568" t="s">
        <v>287</v>
      </c>
      <c r="E113" s="220">
        <v>120</v>
      </c>
      <c r="F113" s="123">
        <f>'ведом. 2024-2026'!AD1037</f>
        <v>4587.3</v>
      </c>
      <c r="G113" s="227"/>
      <c r="H113" s="123">
        <f>'ведом. 2024-2026'!AE1037</f>
        <v>4587.3</v>
      </c>
      <c r="I113" s="227"/>
      <c r="J113" s="313">
        <f>'ведом. 2024-2026'!AF1037</f>
        <v>4571.3999999999996</v>
      </c>
      <c r="K113" s="511">
        <f t="shared" si="15"/>
        <v>0.99653390883526249</v>
      </c>
      <c r="L113" s="227"/>
      <c r="M113" s="511"/>
      <c r="N113" s="116"/>
      <c r="P113" s="116"/>
      <c r="Q113" s="116"/>
    </row>
    <row r="114" spans="1:17" s="106" customFormat="1" ht="31.5" x14ac:dyDescent="0.25">
      <c r="A114" s="197" t="s">
        <v>429</v>
      </c>
      <c r="B114" s="148" t="s">
        <v>29</v>
      </c>
      <c r="C114" s="4" t="s">
        <v>96</v>
      </c>
      <c r="D114" s="568" t="s">
        <v>430</v>
      </c>
      <c r="E114" s="220"/>
      <c r="F114" s="123">
        <f>F115</f>
        <v>2802.1</v>
      </c>
      <c r="G114" s="227"/>
      <c r="H114" s="123">
        <f>H115</f>
        <v>2802.1</v>
      </c>
      <c r="I114" s="227"/>
      <c r="J114" s="313">
        <f>J115</f>
        <v>2802.1</v>
      </c>
      <c r="K114" s="511">
        <f t="shared" si="15"/>
        <v>1</v>
      </c>
      <c r="L114" s="227"/>
      <c r="M114" s="511"/>
      <c r="N114" s="116"/>
      <c r="P114" s="116"/>
      <c r="Q114" s="116"/>
    </row>
    <row r="115" spans="1:17" s="106" customFormat="1" ht="47.25" x14ac:dyDescent="0.25">
      <c r="A115" s="197" t="s">
        <v>41</v>
      </c>
      <c r="B115" s="148" t="s">
        <v>29</v>
      </c>
      <c r="C115" s="4" t="s">
        <v>96</v>
      </c>
      <c r="D115" s="568" t="s">
        <v>430</v>
      </c>
      <c r="E115" s="220">
        <v>100</v>
      </c>
      <c r="F115" s="123">
        <f>F116</f>
        <v>2802.1</v>
      </c>
      <c r="G115" s="227"/>
      <c r="H115" s="123">
        <f>H116</f>
        <v>2802.1</v>
      </c>
      <c r="I115" s="227"/>
      <c r="J115" s="313">
        <f>J116</f>
        <v>2802.1</v>
      </c>
      <c r="K115" s="511">
        <f t="shared" si="15"/>
        <v>1</v>
      </c>
      <c r="L115" s="227"/>
      <c r="M115" s="511"/>
      <c r="N115" s="116"/>
      <c r="P115" s="116"/>
      <c r="Q115" s="116"/>
    </row>
    <row r="116" spans="1:17" s="106" customFormat="1" x14ac:dyDescent="0.25">
      <c r="A116" s="197" t="s">
        <v>97</v>
      </c>
      <c r="B116" s="148" t="s">
        <v>29</v>
      </c>
      <c r="C116" s="4" t="s">
        <v>96</v>
      </c>
      <c r="D116" s="568" t="s">
        <v>430</v>
      </c>
      <c r="E116" s="220">
        <v>120</v>
      </c>
      <c r="F116" s="123">
        <f>'ведом. 2024-2026'!AD1040</f>
        <v>2802.1</v>
      </c>
      <c r="G116" s="227"/>
      <c r="H116" s="123">
        <f>'ведом. 2024-2026'!AE1040</f>
        <v>2802.1</v>
      </c>
      <c r="I116" s="227"/>
      <c r="J116" s="313">
        <f>'ведом. 2024-2026'!AF1040</f>
        <v>2802.1</v>
      </c>
      <c r="K116" s="511">
        <f t="shared" si="15"/>
        <v>1</v>
      </c>
      <c r="L116" s="227"/>
      <c r="M116" s="511"/>
      <c r="N116" s="116"/>
      <c r="P116" s="116"/>
      <c r="Q116" s="116"/>
    </row>
    <row r="117" spans="1:17" s="106" customFormat="1" x14ac:dyDescent="0.25">
      <c r="A117" s="268" t="s">
        <v>2</v>
      </c>
      <c r="B117" s="148" t="s">
        <v>29</v>
      </c>
      <c r="C117" s="4">
        <v>11</v>
      </c>
      <c r="D117" s="530"/>
      <c r="E117" s="220"/>
      <c r="F117" s="123">
        <f>F118</f>
        <v>1000</v>
      </c>
      <c r="G117" s="227"/>
      <c r="H117" s="123">
        <f>H118</f>
        <v>1000</v>
      </c>
      <c r="I117" s="227"/>
      <c r="J117" s="313">
        <f>J118</f>
        <v>0</v>
      </c>
      <c r="K117" s="511">
        <f t="shared" si="15"/>
        <v>0</v>
      </c>
      <c r="L117" s="227"/>
      <c r="M117" s="511"/>
      <c r="N117" s="116"/>
      <c r="P117" s="116"/>
      <c r="Q117" s="116"/>
    </row>
    <row r="118" spans="1:17" s="106" customFormat="1" x14ac:dyDescent="0.25">
      <c r="A118" s="268" t="s">
        <v>344</v>
      </c>
      <c r="B118" s="148" t="s">
        <v>29</v>
      </c>
      <c r="C118" s="4">
        <v>11</v>
      </c>
      <c r="D118" s="458" t="s">
        <v>138</v>
      </c>
      <c r="E118" s="220"/>
      <c r="F118" s="123">
        <f>F119</f>
        <v>1000</v>
      </c>
      <c r="G118" s="123"/>
      <c r="H118" s="123">
        <f>H119</f>
        <v>1000</v>
      </c>
      <c r="I118" s="123"/>
      <c r="J118" s="313">
        <f>J119</f>
        <v>0</v>
      </c>
      <c r="K118" s="511">
        <f t="shared" si="15"/>
        <v>0</v>
      </c>
      <c r="L118" s="227"/>
      <c r="M118" s="511"/>
      <c r="N118" s="116"/>
      <c r="P118" s="116"/>
      <c r="Q118" s="116"/>
    </row>
    <row r="119" spans="1:17" s="106" customFormat="1" ht="31.5" x14ac:dyDescent="0.25">
      <c r="A119" s="200" t="s">
        <v>337</v>
      </c>
      <c r="B119" s="148" t="s">
        <v>29</v>
      </c>
      <c r="C119" s="4">
        <v>11</v>
      </c>
      <c r="D119" s="568" t="s">
        <v>338</v>
      </c>
      <c r="E119" s="220"/>
      <c r="F119" s="123">
        <f>F120</f>
        <v>1000</v>
      </c>
      <c r="G119" s="227"/>
      <c r="H119" s="123">
        <f>H120</f>
        <v>1000</v>
      </c>
      <c r="I119" s="227"/>
      <c r="J119" s="313">
        <f>J120</f>
        <v>0</v>
      </c>
      <c r="K119" s="511">
        <f t="shared" si="15"/>
        <v>0</v>
      </c>
      <c r="L119" s="227"/>
      <c r="M119" s="511"/>
      <c r="N119" s="116"/>
      <c r="P119" s="116"/>
      <c r="Q119" s="116"/>
    </row>
    <row r="120" spans="1:17" s="106" customFormat="1" x14ac:dyDescent="0.25">
      <c r="A120" s="197" t="s">
        <v>42</v>
      </c>
      <c r="B120" s="148" t="s">
        <v>29</v>
      </c>
      <c r="C120" s="4">
        <v>11</v>
      </c>
      <c r="D120" s="568" t="s">
        <v>338</v>
      </c>
      <c r="E120" s="220">
        <v>800</v>
      </c>
      <c r="F120" s="123">
        <f>F121</f>
        <v>1000</v>
      </c>
      <c r="G120" s="227"/>
      <c r="H120" s="123">
        <f>H121</f>
        <v>1000</v>
      </c>
      <c r="I120" s="227"/>
      <c r="J120" s="313">
        <f>J121</f>
        <v>0</v>
      </c>
      <c r="K120" s="511">
        <f t="shared" si="15"/>
        <v>0</v>
      </c>
      <c r="L120" s="227"/>
      <c r="M120" s="511"/>
      <c r="N120" s="116"/>
      <c r="P120" s="116"/>
      <c r="Q120" s="116"/>
    </row>
    <row r="121" spans="1:17" s="106" customFormat="1" x14ac:dyDescent="0.25">
      <c r="A121" s="347" t="s">
        <v>137</v>
      </c>
      <c r="B121" s="148" t="s">
        <v>29</v>
      </c>
      <c r="C121" s="4">
        <v>11</v>
      </c>
      <c r="D121" s="568" t="s">
        <v>338</v>
      </c>
      <c r="E121" s="220">
        <v>870</v>
      </c>
      <c r="F121" s="123">
        <f>'ведом. 2024-2026'!AD59</f>
        <v>1000</v>
      </c>
      <c r="G121" s="227"/>
      <c r="H121" s="123">
        <f>'ведом. 2024-2026'!AE59</f>
        <v>1000</v>
      </c>
      <c r="I121" s="227"/>
      <c r="J121" s="313">
        <f>'ведом. 2024-2026'!AF59</f>
        <v>0</v>
      </c>
      <c r="K121" s="511">
        <f t="shared" si="15"/>
        <v>0</v>
      </c>
      <c r="L121" s="227"/>
      <c r="M121" s="511"/>
      <c r="N121" s="116"/>
      <c r="P121" s="116"/>
      <c r="Q121" s="116"/>
    </row>
    <row r="122" spans="1:17" s="106" customFormat="1" x14ac:dyDescent="0.25">
      <c r="A122" s="268" t="s">
        <v>14</v>
      </c>
      <c r="B122" s="148" t="s">
        <v>29</v>
      </c>
      <c r="C122" s="4">
        <v>13</v>
      </c>
      <c r="D122" s="530"/>
      <c r="E122" s="220"/>
      <c r="F122" s="123">
        <f t="shared" ref="F122:L122" si="19">F123+F174+F180+F195</f>
        <v>278276.10000000003</v>
      </c>
      <c r="G122" s="123">
        <f t="shared" si="19"/>
        <v>3202.6</v>
      </c>
      <c r="H122" s="123">
        <f t="shared" ref="H122:I122" si="20">H123+H174+H180+H195</f>
        <v>379148.10000000003</v>
      </c>
      <c r="I122" s="123">
        <f t="shared" si="20"/>
        <v>3202.6</v>
      </c>
      <c r="J122" s="313">
        <f t="shared" si="19"/>
        <v>247606</v>
      </c>
      <c r="K122" s="511">
        <f t="shared" si="15"/>
        <v>0.6530587915381878</v>
      </c>
      <c r="L122" s="227">
        <f t="shared" si="19"/>
        <v>3096</v>
      </c>
      <c r="M122" s="511">
        <f t="shared" ref="M122:M136" si="21">L122/I122</f>
        <v>0.96671454443264848</v>
      </c>
      <c r="N122" s="116"/>
      <c r="P122" s="116"/>
      <c r="Q122" s="116"/>
    </row>
    <row r="123" spans="1:17" s="106" customFormat="1" x14ac:dyDescent="0.25">
      <c r="A123" s="199" t="s">
        <v>187</v>
      </c>
      <c r="B123" s="148" t="s">
        <v>29</v>
      </c>
      <c r="C123" s="4">
        <v>13</v>
      </c>
      <c r="D123" s="568" t="s">
        <v>113</v>
      </c>
      <c r="E123" s="220"/>
      <c r="F123" s="123">
        <f t="shared" ref="F123:L123" si="22">F124+F150</f>
        <v>191503.30000000002</v>
      </c>
      <c r="G123" s="227">
        <f t="shared" si="22"/>
        <v>1523</v>
      </c>
      <c r="H123" s="123">
        <f t="shared" ref="H123:I123" si="23">H124+H150</f>
        <v>191503.30000000002</v>
      </c>
      <c r="I123" s="227">
        <f t="shared" si="23"/>
        <v>1523</v>
      </c>
      <c r="J123" s="313">
        <f t="shared" si="22"/>
        <v>190833.3</v>
      </c>
      <c r="K123" s="511">
        <f t="shared" si="15"/>
        <v>0.99650136577280901</v>
      </c>
      <c r="L123" s="227">
        <f t="shared" si="22"/>
        <v>1416.4</v>
      </c>
      <c r="M123" s="511">
        <f t="shared" si="21"/>
        <v>0.93000656598818132</v>
      </c>
      <c r="N123" s="116"/>
      <c r="P123" s="116"/>
      <c r="Q123" s="116"/>
    </row>
    <row r="124" spans="1:17" s="106" customFormat="1" x14ac:dyDescent="0.25">
      <c r="A124" s="199" t="s">
        <v>568</v>
      </c>
      <c r="B124" s="148" t="s">
        <v>29</v>
      </c>
      <c r="C124" s="4">
        <v>13</v>
      </c>
      <c r="D124" s="568" t="s">
        <v>114</v>
      </c>
      <c r="E124" s="220"/>
      <c r="F124" s="123">
        <f t="shared" ref="F124:L124" si="24">F125+F133+F139</f>
        <v>48144</v>
      </c>
      <c r="G124" s="227">
        <f t="shared" si="24"/>
        <v>1523</v>
      </c>
      <c r="H124" s="123">
        <f t="shared" ref="H124:I124" si="25">H125+H133+H139</f>
        <v>48144</v>
      </c>
      <c r="I124" s="227">
        <f t="shared" si="25"/>
        <v>1523</v>
      </c>
      <c r="J124" s="313">
        <f t="shared" si="24"/>
        <v>47767.4</v>
      </c>
      <c r="K124" s="511">
        <f t="shared" si="15"/>
        <v>0.9921776337653706</v>
      </c>
      <c r="L124" s="227">
        <f t="shared" si="24"/>
        <v>1416.4</v>
      </c>
      <c r="M124" s="511">
        <f t="shared" si="21"/>
        <v>0.93000656598818132</v>
      </c>
      <c r="N124" s="116"/>
      <c r="P124" s="116"/>
      <c r="Q124" s="116"/>
    </row>
    <row r="125" spans="1:17" s="106" customFormat="1" ht="31.5" x14ac:dyDescent="0.25">
      <c r="A125" s="200" t="s">
        <v>183</v>
      </c>
      <c r="B125" s="148" t="s">
        <v>29</v>
      </c>
      <c r="C125" s="4">
        <v>13</v>
      </c>
      <c r="D125" s="568" t="s">
        <v>184</v>
      </c>
      <c r="E125" s="220"/>
      <c r="F125" s="123">
        <f>F126</f>
        <v>21070.699999999997</v>
      </c>
      <c r="G125" s="227"/>
      <c r="H125" s="123">
        <f>H126</f>
        <v>21070.699999999997</v>
      </c>
      <c r="I125" s="227"/>
      <c r="J125" s="313">
        <f>J126</f>
        <v>20888.599999999999</v>
      </c>
      <c r="K125" s="511">
        <f t="shared" si="15"/>
        <v>0.99135766728205521</v>
      </c>
      <c r="L125" s="227"/>
      <c r="M125" s="511"/>
      <c r="N125" s="116"/>
      <c r="P125" s="116"/>
      <c r="Q125" s="116"/>
    </row>
    <row r="126" spans="1:17" s="106" customFormat="1" ht="31.5" x14ac:dyDescent="0.25">
      <c r="A126" s="200" t="s">
        <v>185</v>
      </c>
      <c r="B126" s="148" t="s">
        <v>29</v>
      </c>
      <c r="C126" s="4">
        <v>13</v>
      </c>
      <c r="D126" s="568" t="s">
        <v>186</v>
      </c>
      <c r="E126" s="221"/>
      <c r="F126" s="123">
        <f>F127+F131+F129</f>
        <v>21070.699999999997</v>
      </c>
      <c r="G126" s="227"/>
      <c r="H126" s="123">
        <f>H127+H131+H129</f>
        <v>21070.699999999997</v>
      </c>
      <c r="I126" s="227"/>
      <c r="J126" s="313">
        <f>J127+J131+J129</f>
        <v>20888.599999999999</v>
      </c>
      <c r="K126" s="511">
        <f t="shared" si="15"/>
        <v>0.99135766728205521</v>
      </c>
      <c r="L126" s="227"/>
      <c r="M126" s="511"/>
      <c r="N126" s="116"/>
      <c r="P126" s="116"/>
      <c r="Q126" s="116"/>
    </row>
    <row r="127" spans="1:17" s="106" customFormat="1" x14ac:dyDescent="0.25">
      <c r="A127" s="268" t="s">
        <v>121</v>
      </c>
      <c r="B127" s="148" t="s">
        <v>29</v>
      </c>
      <c r="C127" s="4">
        <v>13</v>
      </c>
      <c r="D127" s="568" t="s">
        <v>186</v>
      </c>
      <c r="E127" s="220">
        <v>200</v>
      </c>
      <c r="F127" s="123">
        <f>F128</f>
        <v>3065.7000000000003</v>
      </c>
      <c r="G127" s="227"/>
      <c r="H127" s="123">
        <f>H128</f>
        <v>3065.7000000000003</v>
      </c>
      <c r="I127" s="227"/>
      <c r="J127" s="313">
        <f>J128</f>
        <v>2889.4</v>
      </c>
      <c r="K127" s="511">
        <f t="shared" si="15"/>
        <v>0.94249274227745694</v>
      </c>
      <c r="L127" s="227"/>
      <c r="M127" s="511"/>
      <c r="N127" s="116"/>
      <c r="P127" s="116"/>
      <c r="Q127" s="116"/>
    </row>
    <row r="128" spans="1:17" s="106" customFormat="1" ht="31.5" x14ac:dyDescent="0.25">
      <c r="A128" s="268" t="s">
        <v>52</v>
      </c>
      <c r="B128" s="148" t="s">
        <v>29</v>
      </c>
      <c r="C128" s="4">
        <v>13</v>
      </c>
      <c r="D128" s="568" t="s">
        <v>186</v>
      </c>
      <c r="E128" s="220">
        <v>240</v>
      </c>
      <c r="F128" s="123">
        <f>'ведом. 2024-2026'!AD575+'ведом. 2024-2026'!AD829+'ведом. 2024-2026'!AD66</f>
        <v>3065.7000000000003</v>
      </c>
      <c r="G128" s="227"/>
      <c r="H128" s="123">
        <f>'ведом. 2024-2026'!AE575+'ведом. 2024-2026'!AE829+'ведом. 2024-2026'!AE66</f>
        <v>3065.7000000000003</v>
      </c>
      <c r="I128" s="227"/>
      <c r="J128" s="313">
        <f>'ведом. 2024-2026'!AF575+'ведом. 2024-2026'!AF66+'ведом. 2024-2026'!AF829</f>
        <v>2889.4</v>
      </c>
      <c r="K128" s="511">
        <f t="shared" si="15"/>
        <v>0.94249274227745694</v>
      </c>
      <c r="L128" s="227"/>
      <c r="M128" s="511"/>
      <c r="N128" s="116"/>
      <c r="P128" s="116"/>
      <c r="Q128" s="116"/>
    </row>
    <row r="129" spans="1:17" s="106" customFormat="1" x14ac:dyDescent="0.25">
      <c r="A129" s="197" t="s">
        <v>98</v>
      </c>
      <c r="B129" s="148" t="s">
        <v>29</v>
      </c>
      <c r="C129" s="4">
        <v>13</v>
      </c>
      <c r="D129" s="568" t="s">
        <v>186</v>
      </c>
      <c r="E129" s="220">
        <v>300</v>
      </c>
      <c r="F129" s="123">
        <f>F130</f>
        <v>2117.3999999999996</v>
      </c>
      <c r="G129" s="227"/>
      <c r="H129" s="123">
        <f>H130</f>
        <v>2117.3999999999996</v>
      </c>
      <c r="I129" s="227"/>
      <c r="J129" s="313">
        <f>J130</f>
        <v>2111.6</v>
      </c>
      <c r="K129" s="511">
        <f t="shared" si="15"/>
        <v>0.99726079153679048</v>
      </c>
      <c r="L129" s="227"/>
      <c r="M129" s="511"/>
      <c r="N129" s="116"/>
      <c r="P129" s="116"/>
      <c r="Q129" s="116"/>
    </row>
    <row r="130" spans="1:17" s="106" customFormat="1" x14ac:dyDescent="0.25">
      <c r="A130" s="197" t="s">
        <v>447</v>
      </c>
      <c r="B130" s="148" t="s">
        <v>29</v>
      </c>
      <c r="C130" s="4">
        <v>13</v>
      </c>
      <c r="D130" s="568" t="s">
        <v>186</v>
      </c>
      <c r="E130" s="220">
        <v>360</v>
      </c>
      <c r="F130" s="123">
        <f>'ведом. 2024-2026'!AD68</f>
        <v>2117.3999999999996</v>
      </c>
      <c r="G130" s="227"/>
      <c r="H130" s="123">
        <f>'ведом. 2024-2026'!AE68</f>
        <v>2117.3999999999996</v>
      </c>
      <c r="I130" s="227"/>
      <c r="J130" s="313">
        <f>'ведом. 2024-2026'!AF68</f>
        <v>2111.6</v>
      </c>
      <c r="K130" s="511">
        <f t="shared" si="15"/>
        <v>0.99726079153679048</v>
      </c>
      <c r="L130" s="227"/>
      <c r="M130" s="511"/>
      <c r="N130" s="116"/>
      <c r="P130" s="116"/>
      <c r="Q130" s="116"/>
    </row>
    <row r="131" spans="1:17" s="106" customFormat="1" ht="31.5" x14ac:dyDescent="0.25">
      <c r="A131" s="268" t="s">
        <v>61</v>
      </c>
      <c r="B131" s="148" t="s">
        <v>29</v>
      </c>
      <c r="C131" s="4">
        <v>13</v>
      </c>
      <c r="D131" s="568" t="s">
        <v>186</v>
      </c>
      <c r="E131" s="220">
        <v>600</v>
      </c>
      <c r="F131" s="123">
        <f>F132</f>
        <v>15887.6</v>
      </c>
      <c r="G131" s="227"/>
      <c r="H131" s="123">
        <f>H132</f>
        <v>15887.6</v>
      </c>
      <c r="I131" s="227"/>
      <c r="J131" s="313">
        <f>J132</f>
        <v>15887.6</v>
      </c>
      <c r="K131" s="511">
        <f t="shared" si="15"/>
        <v>1</v>
      </c>
      <c r="L131" s="227"/>
      <c r="M131" s="511"/>
      <c r="N131" s="116"/>
      <c r="P131" s="116"/>
      <c r="Q131" s="116"/>
    </row>
    <row r="132" spans="1:17" s="106" customFormat="1" x14ac:dyDescent="0.25">
      <c r="A132" s="268" t="s">
        <v>62</v>
      </c>
      <c r="B132" s="148" t="s">
        <v>29</v>
      </c>
      <c r="C132" s="4">
        <v>13</v>
      </c>
      <c r="D132" s="568" t="s">
        <v>186</v>
      </c>
      <c r="E132" s="220">
        <v>610</v>
      </c>
      <c r="F132" s="123">
        <f>'ведом. 2024-2026'!AD70</f>
        <v>15887.6</v>
      </c>
      <c r="G132" s="227"/>
      <c r="H132" s="123">
        <f>'ведом. 2024-2026'!AE70</f>
        <v>15887.6</v>
      </c>
      <c r="I132" s="227"/>
      <c r="J132" s="313">
        <f>'ведом. 2024-2026'!AF70</f>
        <v>15887.6</v>
      </c>
      <c r="K132" s="511">
        <f t="shared" si="15"/>
        <v>1</v>
      </c>
      <c r="L132" s="227"/>
      <c r="M132" s="511"/>
      <c r="N132" s="116"/>
      <c r="P132" s="116"/>
      <c r="Q132" s="116"/>
    </row>
    <row r="133" spans="1:17" s="106" customFormat="1" ht="31.5" x14ac:dyDescent="0.25">
      <c r="A133" s="200" t="s">
        <v>188</v>
      </c>
      <c r="B133" s="148" t="s">
        <v>29</v>
      </c>
      <c r="C133" s="4">
        <v>13</v>
      </c>
      <c r="D133" s="568" t="s">
        <v>189</v>
      </c>
      <c r="E133" s="589"/>
      <c r="F133" s="123">
        <f t="shared" ref="F133:L133" si="26">F134</f>
        <v>1523</v>
      </c>
      <c r="G133" s="227">
        <f t="shared" si="26"/>
        <v>1523</v>
      </c>
      <c r="H133" s="123">
        <f t="shared" si="26"/>
        <v>1523</v>
      </c>
      <c r="I133" s="227">
        <f t="shared" si="26"/>
        <v>1523</v>
      </c>
      <c r="J133" s="313">
        <f t="shared" si="26"/>
        <v>1416.4</v>
      </c>
      <c r="K133" s="511">
        <f t="shared" si="15"/>
        <v>0.93000656598818132</v>
      </c>
      <c r="L133" s="227">
        <f t="shared" si="26"/>
        <v>1416.4</v>
      </c>
      <c r="M133" s="511">
        <f t="shared" si="21"/>
        <v>0.93000656598818132</v>
      </c>
      <c r="N133" s="116"/>
      <c r="P133" s="116"/>
      <c r="Q133" s="116"/>
    </row>
    <row r="134" spans="1:17" s="106" customFormat="1" ht="45.6" customHeight="1" x14ac:dyDescent="0.25">
      <c r="A134" s="200" t="s">
        <v>663</v>
      </c>
      <c r="B134" s="148" t="s">
        <v>29</v>
      </c>
      <c r="C134" s="4">
        <v>13</v>
      </c>
      <c r="D134" s="211" t="s">
        <v>662</v>
      </c>
      <c r="E134" s="589"/>
      <c r="F134" s="123">
        <f t="shared" ref="F134:L134" si="27">F135+F137</f>
        <v>1523</v>
      </c>
      <c r="G134" s="227">
        <f t="shared" si="27"/>
        <v>1523</v>
      </c>
      <c r="H134" s="123">
        <f t="shared" ref="H134:I134" si="28">H135+H137</f>
        <v>1523</v>
      </c>
      <c r="I134" s="227">
        <f t="shared" si="28"/>
        <v>1523</v>
      </c>
      <c r="J134" s="313">
        <f t="shared" si="27"/>
        <v>1416.4</v>
      </c>
      <c r="K134" s="511">
        <f t="shared" si="15"/>
        <v>0.93000656598818132</v>
      </c>
      <c r="L134" s="227">
        <f t="shared" si="27"/>
        <v>1416.4</v>
      </c>
      <c r="M134" s="511">
        <f t="shared" si="21"/>
        <v>0.93000656598818132</v>
      </c>
      <c r="N134" s="116"/>
      <c r="P134" s="116"/>
      <c r="Q134" s="116"/>
    </row>
    <row r="135" spans="1:17" s="106" customFormat="1" ht="47.25" x14ac:dyDescent="0.25">
      <c r="A135" s="268" t="s">
        <v>41</v>
      </c>
      <c r="B135" s="148" t="s">
        <v>29</v>
      </c>
      <c r="C135" s="4">
        <v>13</v>
      </c>
      <c r="D135" s="211" t="s">
        <v>662</v>
      </c>
      <c r="E135" s="589">
        <v>100</v>
      </c>
      <c r="F135" s="123">
        <f t="shared" ref="F135:L135" si="29">F136</f>
        <v>1419.9</v>
      </c>
      <c r="G135" s="227">
        <f t="shared" si="29"/>
        <v>1419.9</v>
      </c>
      <c r="H135" s="123">
        <f t="shared" si="29"/>
        <v>1419.9</v>
      </c>
      <c r="I135" s="227">
        <f t="shared" si="29"/>
        <v>1419.9</v>
      </c>
      <c r="J135" s="313">
        <f t="shared" si="29"/>
        <v>1416.4</v>
      </c>
      <c r="K135" s="511">
        <f t="shared" si="15"/>
        <v>0.99753503767870977</v>
      </c>
      <c r="L135" s="227">
        <f t="shared" si="29"/>
        <v>1416.4</v>
      </c>
      <c r="M135" s="511">
        <f t="shared" si="21"/>
        <v>0.99753503767870977</v>
      </c>
      <c r="N135" s="116"/>
      <c r="P135" s="116"/>
      <c r="Q135" s="116"/>
    </row>
    <row r="136" spans="1:17" s="106" customFormat="1" x14ac:dyDescent="0.25">
      <c r="A136" s="268" t="s">
        <v>97</v>
      </c>
      <c r="B136" s="148" t="s">
        <v>29</v>
      </c>
      <c r="C136" s="4">
        <v>13</v>
      </c>
      <c r="D136" s="211" t="s">
        <v>662</v>
      </c>
      <c r="E136" s="589">
        <v>120</v>
      </c>
      <c r="F136" s="123">
        <f>'ведом. 2024-2026'!AD579+'ведом. 2024-2026'!AD74</f>
        <v>1419.9</v>
      </c>
      <c r="G136" s="227">
        <f>F136</f>
        <v>1419.9</v>
      </c>
      <c r="H136" s="123">
        <f>'ведом. 2024-2026'!AE579+'ведом. 2024-2026'!AE74</f>
        <v>1419.9</v>
      </c>
      <c r="I136" s="227">
        <f>H136</f>
        <v>1419.9</v>
      </c>
      <c r="J136" s="313">
        <f>'ведом. 2024-2026'!AF579+'ведом. 2024-2026'!AF74</f>
        <v>1416.4</v>
      </c>
      <c r="K136" s="511">
        <f t="shared" si="15"/>
        <v>0.99753503767870977</v>
      </c>
      <c r="L136" s="227">
        <f>J136</f>
        <v>1416.4</v>
      </c>
      <c r="M136" s="511">
        <f t="shared" si="21"/>
        <v>0.99753503767870977</v>
      </c>
      <c r="N136" s="116"/>
      <c r="P136" s="116"/>
      <c r="Q136" s="116"/>
    </row>
    <row r="137" spans="1:17" s="106" customFormat="1" x14ac:dyDescent="0.25">
      <c r="A137" s="268" t="s">
        <v>121</v>
      </c>
      <c r="B137" s="148" t="s">
        <v>29</v>
      </c>
      <c r="C137" s="4">
        <v>13</v>
      </c>
      <c r="D137" s="211" t="s">
        <v>662</v>
      </c>
      <c r="E137" s="589">
        <v>200</v>
      </c>
      <c r="F137" s="123">
        <f t="shared" ref="F137:J137" si="30">F138</f>
        <v>103.1</v>
      </c>
      <c r="G137" s="227">
        <f t="shared" si="30"/>
        <v>103.1</v>
      </c>
      <c r="H137" s="123">
        <f t="shared" si="30"/>
        <v>103.1</v>
      </c>
      <c r="I137" s="227">
        <f t="shared" si="30"/>
        <v>103.1</v>
      </c>
      <c r="J137" s="313">
        <f t="shared" si="30"/>
        <v>0</v>
      </c>
      <c r="K137" s="511">
        <f t="shared" si="15"/>
        <v>0</v>
      </c>
      <c r="L137" s="227"/>
      <c r="M137" s="511"/>
      <c r="N137" s="116"/>
      <c r="P137" s="116"/>
      <c r="Q137" s="116"/>
    </row>
    <row r="138" spans="1:17" s="106" customFormat="1" ht="31.5" x14ac:dyDescent="0.25">
      <c r="A138" s="268" t="s">
        <v>52</v>
      </c>
      <c r="B138" s="148" t="s">
        <v>29</v>
      </c>
      <c r="C138" s="4">
        <v>13</v>
      </c>
      <c r="D138" s="211" t="s">
        <v>662</v>
      </c>
      <c r="E138" s="589">
        <v>240</v>
      </c>
      <c r="F138" s="123">
        <f>'ведом. 2024-2026'!AD581+'ведом. 2024-2026'!AD76</f>
        <v>103.1</v>
      </c>
      <c r="G138" s="227">
        <f>F138</f>
        <v>103.1</v>
      </c>
      <c r="H138" s="123">
        <f>'ведом. 2024-2026'!AE581+'ведом. 2024-2026'!AE76</f>
        <v>103.1</v>
      </c>
      <c r="I138" s="227">
        <f>H138</f>
        <v>103.1</v>
      </c>
      <c r="J138" s="313">
        <f>'ведом. 2024-2026'!AF581</f>
        <v>0</v>
      </c>
      <c r="K138" s="511">
        <f t="shared" si="15"/>
        <v>0</v>
      </c>
      <c r="L138" s="227"/>
      <c r="M138" s="511"/>
      <c r="N138" s="116"/>
      <c r="P138" s="116"/>
      <c r="Q138" s="116"/>
    </row>
    <row r="139" spans="1:17" s="106" customFormat="1" ht="31.5" x14ac:dyDescent="0.25">
      <c r="A139" s="199" t="s">
        <v>339</v>
      </c>
      <c r="B139" s="148" t="s">
        <v>29</v>
      </c>
      <c r="C139" s="4">
        <v>13</v>
      </c>
      <c r="D139" s="568" t="s">
        <v>491</v>
      </c>
      <c r="E139" s="220"/>
      <c r="F139" s="123">
        <f>F140</f>
        <v>25550.3</v>
      </c>
      <c r="G139" s="227"/>
      <c r="H139" s="123">
        <f>H140</f>
        <v>25550.3</v>
      </c>
      <c r="I139" s="227"/>
      <c r="J139" s="313">
        <f>J140</f>
        <v>25462.400000000001</v>
      </c>
      <c r="K139" s="511">
        <f t="shared" si="15"/>
        <v>0.99655972728304565</v>
      </c>
      <c r="L139" s="227"/>
      <c r="M139" s="511"/>
      <c r="N139" s="116"/>
      <c r="P139" s="116"/>
      <c r="Q139" s="116"/>
    </row>
    <row r="140" spans="1:17" s="106" customFormat="1" x14ac:dyDescent="0.25">
      <c r="A140" s="199" t="s">
        <v>342</v>
      </c>
      <c r="B140" s="148" t="s">
        <v>29</v>
      </c>
      <c r="C140" s="4">
        <v>13</v>
      </c>
      <c r="D140" s="568" t="s">
        <v>492</v>
      </c>
      <c r="E140" s="220"/>
      <c r="F140" s="123">
        <f>F141+F144+F147</f>
        <v>25550.3</v>
      </c>
      <c r="G140" s="227"/>
      <c r="H140" s="123">
        <f>H141+H144+H147</f>
        <v>25550.3</v>
      </c>
      <c r="I140" s="227"/>
      <c r="J140" s="313">
        <f>J141+J144+J147</f>
        <v>25462.400000000001</v>
      </c>
      <c r="K140" s="511">
        <f t="shared" ref="K140:K203" si="31">J140/H140</f>
        <v>0.99655972728304565</v>
      </c>
      <c r="L140" s="227"/>
      <c r="M140" s="511"/>
      <c r="N140" s="116"/>
      <c r="P140" s="116"/>
      <c r="Q140" s="116"/>
    </row>
    <row r="141" spans="1:17" s="106" customFormat="1" ht="31.5" x14ac:dyDescent="0.25">
      <c r="A141" s="199" t="s">
        <v>208</v>
      </c>
      <c r="B141" s="148" t="s">
        <v>29</v>
      </c>
      <c r="C141" s="4">
        <v>13</v>
      </c>
      <c r="D141" s="568" t="s">
        <v>493</v>
      </c>
      <c r="E141" s="220"/>
      <c r="F141" s="123">
        <f>F142</f>
        <v>1874.6</v>
      </c>
      <c r="G141" s="227"/>
      <c r="H141" s="123">
        <f>H142</f>
        <v>1874.6</v>
      </c>
      <c r="I141" s="227"/>
      <c r="J141" s="313">
        <f>J142</f>
        <v>1817.4</v>
      </c>
      <c r="K141" s="511">
        <f t="shared" si="31"/>
        <v>0.96948682385575602</v>
      </c>
      <c r="L141" s="227"/>
      <c r="M141" s="511"/>
      <c r="N141" s="116"/>
      <c r="P141" s="116"/>
      <c r="Q141" s="116"/>
    </row>
    <row r="142" spans="1:17" s="106" customFormat="1" x14ac:dyDescent="0.25">
      <c r="A142" s="268" t="s">
        <v>121</v>
      </c>
      <c r="B142" s="148" t="s">
        <v>29</v>
      </c>
      <c r="C142" s="4">
        <v>13</v>
      </c>
      <c r="D142" s="568" t="s">
        <v>493</v>
      </c>
      <c r="E142" s="220">
        <v>200</v>
      </c>
      <c r="F142" s="123">
        <f>F143</f>
        <v>1874.6</v>
      </c>
      <c r="G142" s="227"/>
      <c r="H142" s="123">
        <f>H143</f>
        <v>1874.6</v>
      </c>
      <c r="I142" s="227"/>
      <c r="J142" s="313">
        <f>J143</f>
        <v>1817.4</v>
      </c>
      <c r="K142" s="511">
        <f t="shared" si="31"/>
        <v>0.96948682385575602</v>
      </c>
      <c r="L142" s="227"/>
      <c r="M142" s="511"/>
      <c r="N142" s="116"/>
      <c r="P142" s="116"/>
      <c r="Q142" s="116"/>
    </row>
    <row r="143" spans="1:17" s="106" customFormat="1" ht="31.5" x14ac:dyDescent="0.25">
      <c r="A143" s="268" t="s">
        <v>52</v>
      </c>
      <c r="B143" s="148" t="s">
        <v>29</v>
      </c>
      <c r="C143" s="4">
        <v>13</v>
      </c>
      <c r="D143" s="568" t="s">
        <v>493</v>
      </c>
      <c r="E143" s="220">
        <v>240</v>
      </c>
      <c r="F143" s="123">
        <f>'ведом. 2024-2026'!AD586</f>
        <v>1874.6</v>
      </c>
      <c r="G143" s="227"/>
      <c r="H143" s="123">
        <f>'ведом. 2024-2026'!AE586</f>
        <v>1874.6</v>
      </c>
      <c r="I143" s="227"/>
      <c r="J143" s="313">
        <f>'ведом. 2024-2026'!AF586</f>
        <v>1817.4</v>
      </c>
      <c r="K143" s="511">
        <f t="shared" si="31"/>
        <v>0.96948682385575602</v>
      </c>
      <c r="L143" s="227"/>
      <c r="M143" s="511"/>
      <c r="N143" s="116"/>
      <c r="P143" s="116"/>
      <c r="Q143" s="116"/>
    </row>
    <row r="144" spans="1:17" s="106" customFormat="1" ht="31.5" x14ac:dyDescent="0.25">
      <c r="A144" s="268" t="s">
        <v>209</v>
      </c>
      <c r="B144" s="148" t="s">
        <v>29</v>
      </c>
      <c r="C144" s="4">
        <v>13</v>
      </c>
      <c r="D144" s="458" t="str">
        <f>D145</f>
        <v>12 1 04 00132</v>
      </c>
      <c r="E144" s="220"/>
      <c r="F144" s="123">
        <f>F145</f>
        <v>7936</v>
      </c>
      <c r="G144" s="227"/>
      <c r="H144" s="123">
        <f>H145</f>
        <v>7936</v>
      </c>
      <c r="I144" s="227"/>
      <c r="J144" s="313">
        <f>J145</f>
        <v>7928.1</v>
      </c>
      <c r="K144" s="511">
        <f t="shared" si="31"/>
        <v>0.9990045362903226</v>
      </c>
      <c r="L144" s="227"/>
      <c r="M144" s="511"/>
      <c r="N144" s="116"/>
      <c r="P144" s="116"/>
      <c r="Q144" s="116"/>
    </row>
    <row r="145" spans="1:17" s="106" customFormat="1" ht="47.25" x14ac:dyDescent="0.25">
      <c r="A145" s="268" t="s">
        <v>41</v>
      </c>
      <c r="B145" s="148" t="s">
        <v>29</v>
      </c>
      <c r="C145" s="4">
        <v>13</v>
      </c>
      <c r="D145" s="458" t="str">
        <f>D146</f>
        <v>12 1 04 00132</v>
      </c>
      <c r="E145" s="220">
        <v>100</v>
      </c>
      <c r="F145" s="123">
        <f>F146</f>
        <v>7936</v>
      </c>
      <c r="G145" s="227"/>
      <c r="H145" s="123">
        <f>H146</f>
        <v>7936</v>
      </c>
      <c r="I145" s="227"/>
      <c r="J145" s="313">
        <f>J146</f>
        <v>7928.1</v>
      </c>
      <c r="K145" s="511">
        <f t="shared" si="31"/>
        <v>0.9990045362903226</v>
      </c>
      <c r="L145" s="227"/>
      <c r="M145" s="511"/>
      <c r="N145" s="116"/>
      <c r="P145" s="116"/>
      <c r="Q145" s="116"/>
    </row>
    <row r="146" spans="1:17" s="106" customFormat="1" x14ac:dyDescent="0.25">
      <c r="A146" s="268" t="s">
        <v>97</v>
      </c>
      <c r="B146" s="148" t="s">
        <v>29</v>
      </c>
      <c r="C146" s="4">
        <v>13</v>
      </c>
      <c r="D146" s="568" t="s">
        <v>494</v>
      </c>
      <c r="E146" s="220">
        <v>120</v>
      </c>
      <c r="F146" s="123">
        <f>'ведом. 2024-2026'!AD589</f>
        <v>7936</v>
      </c>
      <c r="G146" s="227"/>
      <c r="H146" s="123">
        <f>'ведом. 2024-2026'!AE589</f>
        <v>7936</v>
      </c>
      <c r="I146" s="227"/>
      <c r="J146" s="313">
        <f>'ведом. 2024-2026'!AF589</f>
        <v>7928.1</v>
      </c>
      <c r="K146" s="511">
        <f t="shared" si="31"/>
        <v>0.9990045362903226</v>
      </c>
      <c r="L146" s="227"/>
      <c r="M146" s="511"/>
      <c r="N146" s="116"/>
      <c r="P146" s="116"/>
      <c r="Q146" s="116"/>
    </row>
    <row r="147" spans="1:17" s="106" customFormat="1" ht="31.5" x14ac:dyDescent="0.25">
      <c r="A147" s="268" t="s">
        <v>210</v>
      </c>
      <c r="B147" s="148" t="s">
        <v>29</v>
      </c>
      <c r="C147" s="4">
        <v>13</v>
      </c>
      <c r="D147" s="458" t="str">
        <f>D148</f>
        <v>12 1 04 00133</v>
      </c>
      <c r="E147" s="220"/>
      <c r="F147" s="123">
        <f>F148</f>
        <v>15739.699999999999</v>
      </c>
      <c r="G147" s="227"/>
      <c r="H147" s="123">
        <f>H148</f>
        <v>15739.699999999999</v>
      </c>
      <c r="I147" s="227"/>
      <c r="J147" s="313">
        <f>J148</f>
        <v>15716.9</v>
      </c>
      <c r="K147" s="511">
        <f t="shared" si="31"/>
        <v>0.9985514336359651</v>
      </c>
      <c r="L147" s="227"/>
      <c r="M147" s="511"/>
      <c r="N147" s="116"/>
      <c r="P147" s="116"/>
      <c r="Q147" s="116"/>
    </row>
    <row r="148" spans="1:17" s="106" customFormat="1" ht="47.25" x14ac:dyDescent="0.25">
      <c r="A148" s="268" t="s">
        <v>41</v>
      </c>
      <c r="B148" s="148" t="s">
        <v>29</v>
      </c>
      <c r="C148" s="4">
        <v>13</v>
      </c>
      <c r="D148" s="458" t="str">
        <f>D149</f>
        <v>12 1 04 00133</v>
      </c>
      <c r="E148" s="220">
        <v>100</v>
      </c>
      <c r="F148" s="123">
        <f>F149</f>
        <v>15739.699999999999</v>
      </c>
      <c r="G148" s="227"/>
      <c r="H148" s="123">
        <f>H149</f>
        <v>15739.699999999999</v>
      </c>
      <c r="I148" s="227"/>
      <c r="J148" s="313">
        <f>J149</f>
        <v>15716.9</v>
      </c>
      <c r="K148" s="511">
        <f t="shared" si="31"/>
        <v>0.9985514336359651</v>
      </c>
      <c r="L148" s="227"/>
      <c r="M148" s="511"/>
      <c r="N148" s="116"/>
      <c r="P148" s="116"/>
      <c r="Q148" s="116"/>
    </row>
    <row r="149" spans="1:17" s="106" customFormat="1" x14ac:dyDescent="0.25">
      <c r="A149" s="268" t="s">
        <v>97</v>
      </c>
      <c r="B149" s="148" t="s">
        <v>29</v>
      </c>
      <c r="C149" s="4">
        <v>13</v>
      </c>
      <c r="D149" s="568" t="s">
        <v>495</v>
      </c>
      <c r="E149" s="220">
        <v>120</v>
      </c>
      <c r="F149" s="123">
        <f>'ведом. 2024-2026'!AD592</f>
        <v>15739.699999999999</v>
      </c>
      <c r="G149" s="227"/>
      <c r="H149" s="123">
        <f>'ведом. 2024-2026'!AE592</f>
        <v>15739.699999999999</v>
      </c>
      <c r="I149" s="227"/>
      <c r="J149" s="313">
        <f>'ведом. 2024-2026'!AF592</f>
        <v>15716.9</v>
      </c>
      <c r="K149" s="511">
        <f t="shared" si="31"/>
        <v>0.9985514336359651</v>
      </c>
      <c r="L149" s="227"/>
      <c r="M149" s="511"/>
      <c r="N149" s="116"/>
      <c r="P149" s="116"/>
      <c r="Q149" s="116"/>
    </row>
    <row r="150" spans="1:17" s="106" customFormat="1" x14ac:dyDescent="0.25">
      <c r="A150" s="199" t="s">
        <v>191</v>
      </c>
      <c r="B150" s="148" t="s">
        <v>29</v>
      </c>
      <c r="C150" s="4">
        <v>13</v>
      </c>
      <c r="D150" s="541" t="s">
        <v>192</v>
      </c>
      <c r="E150" s="220"/>
      <c r="F150" s="123">
        <f>F151</f>
        <v>143359.30000000002</v>
      </c>
      <c r="G150" s="227"/>
      <c r="H150" s="123">
        <f>H151</f>
        <v>143359.30000000002</v>
      </c>
      <c r="I150" s="227"/>
      <c r="J150" s="313">
        <f>J151</f>
        <v>143065.9</v>
      </c>
      <c r="K150" s="511">
        <f t="shared" si="31"/>
        <v>0.99795339402466376</v>
      </c>
      <c r="L150" s="227"/>
      <c r="M150" s="511"/>
      <c r="N150" s="116"/>
      <c r="P150" s="116"/>
      <c r="Q150" s="116"/>
    </row>
    <row r="151" spans="1:17" s="106" customFormat="1" ht="31.5" x14ac:dyDescent="0.25">
      <c r="A151" s="199" t="s">
        <v>193</v>
      </c>
      <c r="B151" s="148" t="s">
        <v>29</v>
      </c>
      <c r="C151" s="4">
        <v>13</v>
      </c>
      <c r="D151" s="541" t="s">
        <v>194</v>
      </c>
      <c r="E151" s="220"/>
      <c r="F151" s="123">
        <f>F152+F160+F163+F155</f>
        <v>143359.30000000002</v>
      </c>
      <c r="G151" s="227"/>
      <c r="H151" s="123">
        <f>H152+H160+H163+H155</f>
        <v>143359.30000000002</v>
      </c>
      <c r="I151" s="227"/>
      <c r="J151" s="313">
        <f>J152+J160+J163+J155</f>
        <v>143065.9</v>
      </c>
      <c r="K151" s="511">
        <f t="shared" si="31"/>
        <v>0.99795339402466376</v>
      </c>
      <c r="L151" s="227"/>
      <c r="M151" s="511"/>
      <c r="N151" s="116"/>
      <c r="P151" s="116"/>
      <c r="Q151" s="116"/>
    </row>
    <row r="152" spans="1:17" s="106" customFormat="1" x14ac:dyDescent="0.25">
      <c r="A152" s="200" t="s">
        <v>225</v>
      </c>
      <c r="B152" s="148" t="s">
        <v>29</v>
      </c>
      <c r="C152" s="4">
        <v>13</v>
      </c>
      <c r="D152" s="541" t="s">
        <v>226</v>
      </c>
      <c r="E152" s="220"/>
      <c r="F152" s="123">
        <f>F153</f>
        <v>137.5</v>
      </c>
      <c r="G152" s="227"/>
      <c r="H152" s="123">
        <f>H153</f>
        <v>137.5</v>
      </c>
      <c r="I152" s="227"/>
      <c r="J152" s="313">
        <f>J153</f>
        <v>137.5</v>
      </c>
      <c r="K152" s="511">
        <f t="shared" si="31"/>
        <v>1</v>
      </c>
      <c r="L152" s="227"/>
      <c r="M152" s="511"/>
      <c r="N152" s="116"/>
      <c r="P152" s="116"/>
      <c r="Q152" s="116"/>
    </row>
    <row r="153" spans="1:17" s="106" customFormat="1" x14ac:dyDescent="0.25">
      <c r="A153" s="268" t="s">
        <v>42</v>
      </c>
      <c r="B153" s="148" t="s">
        <v>29</v>
      </c>
      <c r="C153" s="4">
        <v>13</v>
      </c>
      <c r="D153" s="541" t="s">
        <v>226</v>
      </c>
      <c r="E153" s="220">
        <v>800</v>
      </c>
      <c r="F153" s="123">
        <f>F154</f>
        <v>137.5</v>
      </c>
      <c r="G153" s="227"/>
      <c r="H153" s="123">
        <f>H154</f>
        <v>137.5</v>
      </c>
      <c r="I153" s="227"/>
      <c r="J153" s="313">
        <f>J154</f>
        <v>137.5</v>
      </c>
      <c r="K153" s="511">
        <f t="shared" si="31"/>
        <v>1</v>
      </c>
      <c r="L153" s="227"/>
      <c r="M153" s="511"/>
      <c r="N153" s="116"/>
      <c r="P153" s="116"/>
      <c r="Q153" s="116"/>
    </row>
    <row r="154" spans="1:17" s="106" customFormat="1" x14ac:dyDescent="0.25">
      <c r="A154" s="268" t="s">
        <v>58</v>
      </c>
      <c r="B154" s="148" t="s">
        <v>29</v>
      </c>
      <c r="C154" s="4">
        <v>13</v>
      </c>
      <c r="D154" s="541" t="s">
        <v>226</v>
      </c>
      <c r="E154" s="220">
        <v>850</v>
      </c>
      <c r="F154" s="123">
        <f>'ведом. 2024-2026'!AD81</f>
        <v>137.5</v>
      </c>
      <c r="G154" s="227"/>
      <c r="H154" s="123">
        <f>'ведом. 2024-2026'!AE81</f>
        <v>137.5</v>
      </c>
      <c r="I154" s="227"/>
      <c r="J154" s="313">
        <f>'ведом. 2024-2026'!AF81</f>
        <v>137.5</v>
      </c>
      <c r="K154" s="511">
        <f t="shared" si="31"/>
        <v>1</v>
      </c>
      <c r="L154" s="227"/>
      <c r="M154" s="511"/>
      <c r="N154" s="116"/>
      <c r="P154" s="116"/>
      <c r="Q154" s="116"/>
    </row>
    <row r="155" spans="1:17" s="106" customFormat="1" ht="31.5" x14ac:dyDescent="0.25">
      <c r="A155" s="201" t="s">
        <v>593</v>
      </c>
      <c r="B155" s="148" t="s">
        <v>29</v>
      </c>
      <c r="C155" s="4">
        <v>13</v>
      </c>
      <c r="D155" s="541" t="s">
        <v>592</v>
      </c>
      <c r="E155" s="220"/>
      <c r="F155" s="123">
        <f>F156+F158</f>
        <v>16676.599999999999</v>
      </c>
      <c r="G155" s="227"/>
      <c r="H155" s="123">
        <f>H156+H158</f>
        <v>16676.599999999999</v>
      </c>
      <c r="I155" s="227"/>
      <c r="J155" s="313">
        <f>J156+J158</f>
        <v>16607.599999999999</v>
      </c>
      <c r="K155" s="511">
        <f t="shared" si="31"/>
        <v>0.99586246597028172</v>
      </c>
      <c r="L155" s="227"/>
      <c r="M155" s="511"/>
      <c r="N155" s="116"/>
      <c r="P155" s="116"/>
      <c r="Q155" s="116"/>
    </row>
    <row r="156" spans="1:17" s="106" customFormat="1" ht="47.25" x14ac:dyDescent="0.25">
      <c r="A156" s="197" t="s">
        <v>41</v>
      </c>
      <c r="B156" s="148" t="s">
        <v>29</v>
      </c>
      <c r="C156" s="4">
        <v>13</v>
      </c>
      <c r="D156" s="541" t="s">
        <v>592</v>
      </c>
      <c r="E156" s="223" t="s">
        <v>127</v>
      </c>
      <c r="F156" s="123">
        <f>F157</f>
        <v>15781</v>
      </c>
      <c r="G156" s="227"/>
      <c r="H156" s="123">
        <f>H157</f>
        <v>15781</v>
      </c>
      <c r="I156" s="227"/>
      <c r="J156" s="313">
        <f>J157</f>
        <v>15781</v>
      </c>
      <c r="K156" s="511">
        <f t="shared" si="31"/>
        <v>1</v>
      </c>
      <c r="L156" s="227"/>
      <c r="M156" s="511"/>
      <c r="N156" s="116"/>
      <c r="P156" s="116"/>
      <c r="Q156" s="116"/>
    </row>
    <row r="157" spans="1:17" s="106" customFormat="1" x14ac:dyDescent="0.25">
      <c r="A157" s="197" t="s">
        <v>69</v>
      </c>
      <c r="B157" s="148" t="s">
        <v>29</v>
      </c>
      <c r="C157" s="4">
        <v>13</v>
      </c>
      <c r="D157" s="541" t="s">
        <v>592</v>
      </c>
      <c r="E157" s="223" t="s">
        <v>128</v>
      </c>
      <c r="F157" s="123">
        <f>'ведом. 2024-2026'!AD84</f>
        <v>15781</v>
      </c>
      <c r="G157" s="227"/>
      <c r="H157" s="123">
        <f>'ведом. 2024-2026'!AE84</f>
        <v>15781</v>
      </c>
      <c r="I157" s="227"/>
      <c r="J157" s="313">
        <f>'ведом. 2024-2026'!AF84</f>
        <v>15781</v>
      </c>
      <c r="K157" s="511">
        <f t="shared" si="31"/>
        <v>1</v>
      </c>
      <c r="L157" s="227"/>
      <c r="M157" s="511"/>
      <c r="N157" s="116"/>
      <c r="P157" s="116"/>
      <c r="Q157" s="116"/>
    </row>
    <row r="158" spans="1:17" s="106" customFormat="1" x14ac:dyDescent="0.25">
      <c r="A158" s="197" t="s">
        <v>121</v>
      </c>
      <c r="B158" s="148" t="s">
        <v>29</v>
      </c>
      <c r="C158" s="4">
        <v>13</v>
      </c>
      <c r="D158" s="541" t="s">
        <v>592</v>
      </c>
      <c r="E158" s="223" t="s">
        <v>37</v>
      </c>
      <c r="F158" s="123">
        <f>F159</f>
        <v>895.59999999999991</v>
      </c>
      <c r="G158" s="227"/>
      <c r="H158" s="123">
        <f>H159</f>
        <v>895.59999999999991</v>
      </c>
      <c r="I158" s="227"/>
      <c r="J158" s="313">
        <f>J159</f>
        <v>826.6</v>
      </c>
      <c r="K158" s="511">
        <f t="shared" si="31"/>
        <v>0.92295667708798579</v>
      </c>
      <c r="L158" s="227"/>
      <c r="M158" s="511"/>
      <c r="N158" s="116"/>
      <c r="P158" s="116"/>
      <c r="Q158" s="116"/>
    </row>
    <row r="159" spans="1:17" s="106" customFormat="1" ht="31.5" x14ac:dyDescent="0.25">
      <c r="A159" s="197" t="s">
        <v>52</v>
      </c>
      <c r="B159" s="148" t="s">
        <v>29</v>
      </c>
      <c r="C159" s="4">
        <v>13</v>
      </c>
      <c r="D159" s="541" t="s">
        <v>592</v>
      </c>
      <c r="E159" s="223" t="s">
        <v>66</v>
      </c>
      <c r="F159" s="123">
        <f>'ведом. 2024-2026'!AD86</f>
        <v>895.59999999999991</v>
      </c>
      <c r="G159" s="227"/>
      <c r="H159" s="123">
        <f>'ведом. 2024-2026'!AE86</f>
        <v>895.59999999999991</v>
      </c>
      <c r="I159" s="227"/>
      <c r="J159" s="313">
        <f>'ведом. 2024-2026'!AF86</f>
        <v>826.6</v>
      </c>
      <c r="K159" s="511">
        <f t="shared" si="31"/>
        <v>0.92295667708798579</v>
      </c>
      <c r="L159" s="227"/>
      <c r="M159" s="511"/>
      <c r="N159" s="116"/>
      <c r="P159" s="116"/>
      <c r="Q159" s="116"/>
    </row>
    <row r="160" spans="1:17" s="106" customFormat="1" ht="31.5" x14ac:dyDescent="0.25">
      <c r="A160" s="200" t="s">
        <v>219</v>
      </c>
      <c r="B160" s="11" t="s">
        <v>29</v>
      </c>
      <c r="C160" s="146">
        <v>13</v>
      </c>
      <c r="D160" s="541" t="s">
        <v>220</v>
      </c>
      <c r="E160" s="221"/>
      <c r="F160" s="123">
        <f>F161</f>
        <v>25689.599999999999</v>
      </c>
      <c r="G160" s="227"/>
      <c r="H160" s="123">
        <f>H161</f>
        <v>25689.599999999999</v>
      </c>
      <c r="I160" s="227"/>
      <c r="J160" s="313">
        <f>J161</f>
        <v>25689.599999999999</v>
      </c>
      <c r="K160" s="511">
        <f t="shared" si="31"/>
        <v>1</v>
      </c>
      <c r="L160" s="227"/>
      <c r="M160" s="511"/>
      <c r="N160" s="116"/>
      <c r="P160" s="116"/>
      <c r="Q160" s="116"/>
    </row>
    <row r="161" spans="1:17" s="106" customFormat="1" ht="31.5" x14ac:dyDescent="0.25">
      <c r="A161" s="268" t="s">
        <v>61</v>
      </c>
      <c r="B161" s="11" t="s">
        <v>29</v>
      </c>
      <c r="C161" s="146">
        <v>13</v>
      </c>
      <c r="D161" s="541" t="s">
        <v>220</v>
      </c>
      <c r="E161" s="590">
        <v>600</v>
      </c>
      <c r="F161" s="123">
        <f>F162</f>
        <v>25689.599999999999</v>
      </c>
      <c r="G161" s="227"/>
      <c r="H161" s="123">
        <f>H162</f>
        <v>25689.599999999999</v>
      </c>
      <c r="I161" s="227"/>
      <c r="J161" s="313">
        <f>J162</f>
        <v>25689.599999999999</v>
      </c>
      <c r="K161" s="511">
        <f t="shared" si="31"/>
        <v>1</v>
      </c>
      <c r="L161" s="227"/>
      <c r="M161" s="511"/>
      <c r="N161" s="116"/>
      <c r="P161" s="116"/>
      <c r="Q161" s="116"/>
    </row>
    <row r="162" spans="1:17" s="106" customFormat="1" x14ac:dyDescent="0.25">
      <c r="A162" s="268" t="s">
        <v>62</v>
      </c>
      <c r="B162" s="11" t="s">
        <v>29</v>
      </c>
      <c r="C162" s="146">
        <v>13</v>
      </c>
      <c r="D162" s="541" t="s">
        <v>220</v>
      </c>
      <c r="E162" s="590">
        <v>610</v>
      </c>
      <c r="F162" s="123">
        <f>'ведом. 2024-2026'!AD631</f>
        <v>25689.599999999999</v>
      </c>
      <c r="G162" s="227"/>
      <c r="H162" s="123">
        <f>'ведом. 2024-2026'!AE631</f>
        <v>25689.599999999999</v>
      </c>
      <c r="I162" s="227"/>
      <c r="J162" s="313">
        <f>'ведом. 2024-2026'!AF631</f>
        <v>25689.599999999999</v>
      </c>
      <c r="K162" s="511">
        <f t="shared" si="31"/>
        <v>1</v>
      </c>
      <c r="L162" s="227"/>
      <c r="M162" s="511"/>
      <c r="N162" s="116"/>
      <c r="P162" s="116"/>
      <c r="Q162" s="116"/>
    </row>
    <row r="163" spans="1:17" s="106" customFormat="1" ht="31.5" x14ac:dyDescent="0.25">
      <c r="A163" s="200" t="s">
        <v>205</v>
      </c>
      <c r="B163" s="148" t="s">
        <v>29</v>
      </c>
      <c r="C163" s="4">
        <v>13</v>
      </c>
      <c r="D163" s="541" t="s">
        <v>206</v>
      </c>
      <c r="E163" s="220"/>
      <c r="F163" s="123">
        <f>F164+F169</f>
        <v>100855.6</v>
      </c>
      <c r="G163" s="227"/>
      <c r="H163" s="123">
        <f>H164+H169</f>
        <v>100855.6</v>
      </c>
      <c r="I163" s="227"/>
      <c r="J163" s="313">
        <f>J164+J169</f>
        <v>100631.2</v>
      </c>
      <c r="K163" s="511">
        <f t="shared" si="31"/>
        <v>0.99777503678526513</v>
      </c>
      <c r="L163" s="227"/>
      <c r="M163" s="511"/>
      <c r="N163" s="116"/>
      <c r="P163" s="116"/>
      <c r="Q163" s="116"/>
    </row>
    <row r="164" spans="1:17" s="106" customFormat="1" ht="47.25" x14ac:dyDescent="0.25">
      <c r="A164" s="268" t="s">
        <v>221</v>
      </c>
      <c r="B164" s="148" t="s">
        <v>29</v>
      </c>
      <c r="C164" s="4">
        <v>13</v>
      </c>
      <c r="D164" s="541" t="s">
        <v>222</v>
      </c>
      <c r="E164" s="223"/>
      <c r="F164" s="123">
        <f>F165+F167</f>
        <v>81002.3</v>
      </c>
      <c r="G164" s="123"/>
      <c r="H164" s="123">
        <f>H165+H167</f>
        <v>81002.3</v>
      </c>
      <c r="I164" s="123"/>
      <c r="J164" s="313">
        <f>J165+J167</f>
        <v>80965</v>
      </c>
      <c r="K164" s="511">
        <f t="shared" si="31"/>
        <v>0.99953951924821882</v>
      </c>
      <c r="L164" s="227"/>
      <c r="M164" s="511"/>
      <c r="N164" s="116"/>
      <c r="P164" s="116"/>
      <c r="Q164" s="116"/>
    </row>
    <row r="165" spans="1:17" s="106" customFormat="1" ht="47.25" x14ac:dyDescent="0.25">
      <c r="A165" s="268" t="s">
        <v>41</v>
      </c>
      <c r="B165" s="148" t="s">
        <v>29</v>
      </c>
      <c r="C165" s="4">
        <v>13</v>
      </c>
      <c r="D165" s="541" t="s">
        <v>222</v>
      </c>
      <c r="E165" s="223" t="s">
        <v>127</v>
      </c>
      <c r="F165" s="123">
        <f>F166</f>
        <v>80301.3</v>
      </c>
      <c r="G165" s="227"/>
      <c r="H165" s="123">
        <f>H166</f>
        <v>80301.3</v>
      </c>
      <c r="I165" s="227"/>
      <c r="J165" s="313">
        <f>J166</f>
        <v>80291.399999999994</v>
      </c>
      <c r="K165" s="511">
        <f t="shared" si="31"/>
        <v>0.99987671432467462</v>
      </c>
      <c r="L165" s="227"/>
      <c r="M165" s="511"/>
      <c r="N165" s="116"/>
      <c r="P165" s="116"/>
      <c r="Q165" s="116"/>
    </row>
    <row r="166" spans="1:17" s="106" customFormat="1" x14ac:dyDescent="0.25">
      <c r="A166" s="268" t="s">
        <v>69</v>
      </c>
      <c r="B166" s="148" t="s">
        <v>29</v>
      </c>
      <c r="C166" s="4">
        <v>13</v>
      </c>
      <c r="D166" s="541" t="s">
        <v>222</v>
      </c>
      <c r="E166" s="223" t="s">
        <v>128</v>
      </c>
      <c r="F166" s="123">
        <f>'ведом. 2024-2026'!AD90</f>
        <v>80301.3</v>
      </c>
      <c r="G166" s="227"/>
      <c r="H166" s="123">
        <f>'ведом. 2024-2026'!AE90</f>
        <v>80301.3</v>
      </c>
      <c r="I166" s="227"/>
      <c r="J166" s="313">
        <f>'ведом. 2024-2026'!AF90</f>
        <v>80291.399999999994</v>
      </c>
      <c r="K166" s="511">
        <f t="shared" si="31"/>
        <v>0.99987671432467462</v>
      </c>
      <c r="L166" s="227"/>
      <c r="M166" s="511"/>
      <c r="N166" s="116"/>
      <c r="P166" s="116"/>
      <c r="Q166" s="116"/>
    </row>
    <row r="167" spans="1:17" s="106" customFormat="1" x14ac:dyDescent="0.25">
      <c r="A167" s="268" t="s">
        <v>121</v>
      </c>
      <c r="B167" s="148" t="s">
        <v>29</v>
      </c>
      <c r="C167" s="4">
        <v>13</v>
      </c>
      <c r="D167" s="541" t="s">
        <v>222</v>
      </c>
      <c r="E167" s="223" t="s">
        <v>37</v>
      </c>
      <c r="F167" s="123">
        <f>F168</f>
        <v>701</v>
      </c>
      <c r="G167" s="227"/>
      <c r="H167" s="123">
        <f>H168</f>
        <v>701</v>
      </c>
      <c r="I167" s="227"/>
      <c r="J167" s="313">
        <f>J168</f>
        <v>673.6</v>
      </c>
      <c r="K167" s="511">
        <f t="shared" si="31"/>
        <v>0.96091298145506421</v>
      </c>
      <c r="L167" s="227"/>
      <c r="M167" s="511"/>
      <c r="N167" s="116"/>
      <c r="P167" s="116"/>
      <c r="Q167" s="116"/>
    </row>
    <row r="168" spans="1:17" s="106" customFormat="1" ht="31.5" x14ac:dyDescent="0.25">
      <c r="A168" s="268" t="s">
        <v>52</v>
      </c>
      <c r="B168" s="148" t="s">
        <v>29</v>
      </c>
      <c r="C168" s="4">
        <v>13</v>
      </c>
      <c r="D168" s="541" t="s">
        <v>222</v>
      </c>
      <c r="E168" s="223" t="s">
        <v>66</v>
      </c>
      <c r="F168" s="123">
        <f>'ведом. 2024-2026'!AD92</f>
        <v>701</v>
      </c>
      <c r="G168" s="227"/>
      <c r="H168" s="123">
        <f>'ведом. 2024-2026'!AE92</f>
        <v>701</v>
      </c>
      <c r="I168" s="227"/>
      <c r="J168" s="313">
        <f>'ведом. 2024-2026'!AF92</f>
        <v>673.6</v>
      </c>
      <c r="K168" s="511">
        <f t="shared" si="31"/>
        <v>0.96091298145506421</v>
      </c>
      <c r="L168" s="227"/>
      <c r="M168" s="511"/>
      <c r="N168" s="116"/>
      <c r="P168" s="116"/>
      <c r="Q168" s="116"/>
    </row>
    <row r="169" spans="1:17" s="106" customFormat="1" ht="47.25" x14ac:dyDescent="0.25">
      <c r="A169" s="268" t="s">
        <v>408</v>
      </c>
      <c r="B169" s="148" t="s">
        <v>29</v>
      </c>
      <c r="C169" s="4">
        <v>13</v>
      </c>
      <c r="D169" s="541" t="s">
        <v>409</v>
      </c>
      <c r="E169" s="223"/>
      <c r="F169" s="123">
        <f>F170+F172</f>
        <v>19853.300000000003</v>
      </c>
      <c r="G169" s="123"/>
      <c r="H169" s="123">
        <f>H170+H172</f>
        <v>19853.300000000003</v>
      </c>
      <c r="I169" s="123"/>
      <c r="J169" s="313">
        <f>J170+J172</f>
        <v>19666.2</v>
      </c>
      <c r="K169" s="511">
        <f t="shared" si="31"/>
        <v>0.9905758740360544</v>
      </c>
      <c r="L169" s="227"/>
      <c r="M169" s="511"/>
      <c r="N169" s="116"/>
      <c r="P169" s="116"/>
      <c r="Q169" s="116"/>
    </row>
    <row r="170" spans="1:17" s="106" customFormat="1" ht="47.25" x14ac:dyDescent="0.25">
      <c r="A170" s="268" t="s">
        <v>41</v>
      </c>
      <c r="B170" s="148" t="s">
        <v>29</v>
      </c>
      <c r="C170" s="4">
        <v>13</v>
      </c>
      <c r="D170" s="541" t="s">
        <v>409</v>
      </c>
      <c r="E170" s="223" t="s">
        <v>127</v>
      </c>
      <c r="F170" s="123">
        <f>F171</f>
        <v>18357.200000000004</v>
      </c>
      <c r="G170" s="227"/>
      <c r="H170" s="123">
        <f>H171</f>
        <v>18357.200000000004</v>
      </c>
      <c r="I170" s="227"/>
      <c r="J170" s="313">
        <f>J171</f>
        <v>18350.900000000001</v>
      </c>
      <c r="K170" s="511">
        <f t="shared" si="31"/>
        <v>0.99965681040681564</v>
      </c>
      <c r="L170" s="227"/>
      <c r="M170" s="511"/>
      <c r="N170" s="116"/>
      <c r="P170" s="116"/>
      <c r="Q170" s="116"/>
    </row>
    <row r="171" spans="1:17" s="106" customFormat="1" x14ac:dyDescent="0.25">
      <c r="A171" s="268" t="s">
        <v>69</v>
      </c>
      <c r="B171" s="148" t="s">
        <v>29</v>
      </c>
      <c r="C171" s="4">
        <v>13</v>
      </c>
      <c r="D171" s="541" t="s">
        <v>409</v>
      </c>
      <c r="E171" s="223" t="s">
        <v>128</v>
      </c>
      <c r="F171" s="123">
        <f>'ведом. 2024-2026'!AD95</f>
        <v>18357.200000000004</v>
      </c>
      <c r="G171" s="227"/>
      <c r="H171" s="123">
        <f>'ведом. 2024-2026'!AE95</f>
        <v>18357.200000000004</v>
      </c>
      <c r="I171" s="227"/>
      <c r="J171" s="313">
        <f>'ведом. 2024-2026'!AF95</f>
        <v>18350.900000000001</v>
      </c>
      <c r="K171" s="511">
        <f t="shared" si="31"/>
        <v>0.99965681040681564</v>
      </c>
      <c r="L171" s="227"/>
      <c r="M171" s="511"/>
      <c r="N171" s="116"/>
      <c r="P171" s="116"/>
      <c r="Q171" s="116"/>
    </row>
    <row r="172" spans="1:17" s="106" customFormat="1" x14ac:dyDescent="0.25">
      <c r="A172" s="268" t="s">
        <v>121</v>
      </c>
      <c r="B172" s="148" t="s">
        <v>29</v>
      </c>
      <c r="C172" s="4">
        <v>13</v>
      </c>
      <c r="D172" s="541" t="s">
        <v>409</v>
      </c>
      <c r="E172" s="223" t="s">
        <v>37</v>
      </c>
      <c r="F172" s="123">
        <f>F173</f>
        <v>1496.1</v>
      </c>
      <c r="G172" s="227"/>
      <c r="H172" s="123">
        <f>H173</f>
        <v>1496.1</v>
      </c>
      <c r="I172" s="227"/>
      <c r="J172" s="313">
        <f>J173</f>
        <v>1315.3</v>
      </c>
      <c r="K172" s="511">
        <f t="shared" si="31"/>
        <v>0.87915246307065043</v>
      </c>
      <c r="L172" s="227"/>
      <c r="M172" s="511"/>
      <c r="N172" s="116"/>
      <c r="P172" s="116"/>
      <c r="Q172" s="116"/>
    </row>
    <row r="173" spans="1:17" s="106" customFormat="1" ht="31.5" x14ac:dyDescent="0.25">
      <c r="A173" s="268" t="s">
        <v>52</v>
      </c>
      <c r="B173" s="148" t="s">
        <v>29</v>
      </c>
      <c r="C173" s="4">
        <v>13</v>
      </c>
      <c r="D173" s="541" t="s">
        <v>409</v>
      </c>
      <c r="E173" s="223" t="s">
        <v>66</v>
      </c>
      <c r="F173" s="123">
        <f>'ведом. 2024-2026'!AD97</f>
        <v>1496.1</v>
      </c>
      <c r="G173" s="227"/>
      <c r="H173" s="123">
        <f>'ведом. 2024-2026'!AE97</f>
        <v>1496.1</v>
      </c>
      <c r="I173" s="227"/>
      <c r="J173" s="313">
        <f>'ведом. 2024-2026'!AF97</f>
        <v>1315.3</v>
      </c>
      <c r="K173" s="511">
        <f t="shared" si="31"/>
        <v>0.87915246307065043</v>
      </c>
      <c r="L173" s="227"/>
      <c r="M173" s="511"/>
      <c r="N173" s="116"/>
      <c r="P173" s="116"/>
      <c r="Q173" s="116"/>
    </row>
    <row r="174" spans="1:17" s="106" customFormat="1" ht="31.5" x14ac:dyDescent="0.25">
      <c r="A174" s="199" t="s">
        <v>306</v>
      </c>
      <c r="B174" s="148" t="s">
        <v>29</v>
      </c>
      <c r="C174" s="4">
        <v>13</v>
      </c>
      <c r="D174" s="568" t="s">
        <v>132</v>
      </c>
      <c r="E174" s="220"/>
      <c r="F174" s="123">
        <f t="shared" ref="F174:L174" si="32">F175</f>
        <v>0.60000000000000009</v>
      </c>
      <c r="G174" s="227">
        <f t="shared" si="32"/>
        <v>0.60000000000000009</v>
      </c>
      <c r="H174" s="123">
        <f t="shared" si="32"/>
        <v>0.60000000000000009</v>
      </c>
      <c r="I174" s="227">
        <f t="shared" si="32"/>
        <v>0.60000000000000009</v>
      </c>
      <c r="J174" s="313">
        <f t="shared" si="32"/>
        <v>0.6</v>
      </c>
      <c r="K174" s="511">
        <f t="shared" si="31"/>
        <v>0.99999999999999978</v>
      </c>
      <c r="L174" s="227">
        <f t="shared" si="32"/>
        <v>0.6</v>
      </c>
      <c r="M174" s="511">
        <f t="shared" ref="M174:M185" si="33">L174/I174</f>
        <v>0.99999999999999978</v>
      </c>
      <c r="N174" s="116"/>
      <c r="P174" s="116"/>
      <c r="Q174" s="116"/>
    </row>
    <row r="175" spans="1:17" s="106" customFormat="1" x14ac:dyDescent="0.25">
      <c r="A175" s="199" t="s">
        <v>47</v>
      </c>
      <c r="B175" s="148" t="s">
        <v>29</v>
      </c>
      <c r="C175" s="4">
        <v>13</v>
      </c>
      <c r="D175" s="568" t="s">
        <v>475</v>
      </c>
      <c r="E175" s="220"/>
      <c r="F175" s="123">
        <f t="shared" ref="F175:L175" si="34">F176</f>
        <v>0.60000000000000009</v>
      </c>
      <c r="G175" s="227">
        <f t="shared" si="34"/>
        <v>0.60000000000000009</v>
      </c>
      <c r="H175" s="123">
        <f t="shared" si="34"/>
        <v>0.60000000000000009</v>
      </c>
      <c r="I175" s="227">
        <f t="shared" si="34"/>
        <v>0.60000000000000009</v>
      </c>
      <c r="J175" s="313">
        <f t="shared" si="34"/>
        <v>0.6</v>
      </c>
      <c r="K175" s="511">
        <f t="shared" si="31"/>
        <v>0.99999999999999978</v>
      </c>
      <c r="L175" s="227">
        <f t="shared" si="34"/>
        <v>0.6</v>
      </c>
      <c r="M175" s="511">
        <f t="shared" si="33"/>
        <v>0.99999999999999978</v>
      </c>
      <c r="N175" s="116"/>
      <c r="P175" s="116"/>
      <c r="Q175" s="116"/>
    </row>
    <row r="176" spans="1:17" s="106" customFormat="1" ht="31.5" x14ac:dyDescent="0.25">
      <c r="A176" s="215" t="s">
        <v>320</v>
      </c>
      <c r="B176" s="148" t="s">
        <v>29</v>
      </c>
      <c r="C176" s="4">
        <v>13</v>
      </c>
      <c r="D176" s="568" t="s">
        <v>484</v>
      </c>
      <c r="E176" s="220"/>
      <c r="F176" s="123">
        <f t="shared" ref="F176:L178" si="35">F177</f>
        <v>0.60000000000000009</v>
      </c>
      <c r="G176" s="227">
        <f t="shared" si="35"/>
        <v>0.60000000000000009</v>
      </c>
      <c r="H176" s="123">
        <f t="shared" si="35"/>
        <v>0.60000000000000009</v>
      </c>
      <c r="I176" s="227">
        <f t="shared" si="35"/>
        <v>0.60000000000000009</v>
      </c>
      <c r="J176" s="313">
        <f t="shared" si="35"/>
        <v>0.6</v>
      </c>
      <c r="K176" s="511">
        <f t="shared" si="31"/>
        <v>0.99999999999999978</v>
      </c>
      <c r="L176" s="227">
        <f t="shared" si="35"/>
        <v>0.6</v>
      </c>
      <c r="M176" s="511">
        <f t="shared" si="33"/>
        <v>0.99999999999999978</v>
      </c>
      <c r="N176" s="116"/>
      <c r="P176" s="116"/>
      <c r="Q176" s="116"/>
    </row>
    <row r="177" spans="1:17" s="106" customFormat="1" ht="31.5" x14ac:dyDescent="0.25">
      <c r="A177" s="214" t="s">
        <v>486</v>
      </c>
      <c r="B177" s="148" t="s">
        <v>29</v>
      </c>
      <c r="C177" s="4">
        <v>13</v>
      </c>
      <c r="D177" s="568" t="s">
        <v>485</v>
      </c>
      <c r="E177" s="220"/>
      <c r="F177" s="123">
        <f t="shared" si="35"/>
        <v>0.60000000000000009</v>
      </c>
      <c r="G177" s="227">
        <f t="shared" si="35"/>
        <v>0.60000000000000009</v>
      </c>
      <c r="H177" s="123">
        <f t="shared" si="35"/>
        <v>0.60000000000000009</v>
      </c>
      <c r="I177" s="227">
        <f t="shared" si="35"/>
        <v>0.60000000000000009</v>
      </c>
      <c r="J177" s="313">
        <f t="shared" si="35"/>
        <v>0.6</v>
      </c>
      <c r="K177" s="511">
        <f t="shared" si="31"/>
        <v>0.99999999999999978</v>
      </c>
      <c r="L177" s="227">
        <f t="shared" si="35"/>
        <v>0.6</v>
      </c>
      <c r="M177" s="511">
        <f t="shared" si="33"/>
        <v>0.99999999999999978</v>
      </c>
      <c r="N177" s="116"/>
      <c r="P177" s="116"/>
      <c r="Q177" s="116"/>
    </row>
    <row r="178" spans="1:17" s="106" customFormat="1" x14ac:dyDescent="0.25">
      <c r="A178" s="268" t="s">
        <v>121</v>
      </c>
      <c r="B178" s="148" t="s">
        <v>29</v>
      </c>
      <c r="C178" s="4">
        <v>13</v>
      </c>
      <c r="D178" s="568" t="s">
        <v>485</v>
      </c>
      <c r="E178" s="220">
        <v>200</v>
      </c>
      <c r="F178" s="123">
        <f t="shared" si="35"/>
        <v>0.60000000000000009</v>
      </c>
      <c r="G178" s="227">
        <f t="shared" si="35"/>
        <v>0.60000000000000009</v>
      </c>
      <c r="H178" s="123">
        <f t="shared" si="35"/>
        <v>0.60000000000000009</v>
      </c>
      <c r="I178" s="227">
        <f t="shared" si="35"/>
        <v>0.60000000000000009</v>
      </c>
      <c r="J178" s="313">
        <f t="shared" si="35"/>
        <v>0.6</v>
      </c>
      <c r="K178" s="511">
        <f t="shared" si="31"/>
        <v>0.99999999999999978</v>
      </c>
      <c r="L178" s="227">
        <f t="shared" si="35"/>
        <v>0.6</v>
      </c>
      <c r="M178" s="511">
        <f t="shared" si="33"/>
        <v>0.99999999999999978</v>
      </c>
      <c r="N178" s="116"/>
      <c r="P178" s="116"/>
      <c r="Q178" s="116"/>
    </row>
    <row r="179" spans="1:17" s="106" customFormat="1" ht="31.5" x14ac:dyDescent="0.25">
      <c r="A179" s="268" t="s">
        <v>52</v>
      </c>
      <c r="B179" s="148" t="s">
        <v>29</v>
      </c>
      <c r="C179" s="4">
        <v>13</v>
      </c>
      <c r="D179" s="568" t="s">
        <v>485</v>
      </c>
      <c r="E179" s="220">
        <v>240</v>
      </c>
      <c r="F179" s="123">
        <f>'ведом. 2024-2026'!AD103</f>
        <v>0.60000000000000009</v>
      </c>
      <c r="G179" s="227">
        <f>F179</f>
        <v>0.60000000000000009</v>
      </c>
      <c r="H179" s="123">
        <f>'ведом. 2024-2026'!AE103</f>
        <v>0.60000000000000009</v>
      </c>
      <c r="I179" s="227">
        <f>H179</f>
        <v>0.60000000000000009</v>
      </c>
      <c r="J179" s="313">
        <f>'ведом. 2024-2026'!AF103</f>
        <v>0.6</v>
      </c>
      <c r="K179" s="511">
        <f t="shared" si="31"/>
        <v>0.99999999999999978</v>
      </c>
      <c r="L179" s="227">
        <f>J179</f>
        <v>0.6</v>
      </c>
      <c r="M179" s="511">
        <f t="shared" si="33"/>
        <v>0.99999999999999978</v>
      </c>
      <c r="N179" s="116"/>
      <c r="P179" s="116"/>
      <c r="Q179" s="116"/>
    </row>
    <row r="180" spans="1:17" s="106" customFormat="1" x14ac:dyDescent="0.25">
      <c r="A180" s="199" t="s">
        <v>238</v>
      </c>
      <c r="B180" s="148" t="s">
        <v>29</v>
      </c>
      <c r="C180" s="4">
        <v>13</v>
      </c>
      <c r="D180" s="568" t="s">
        <v>239</v>
      </c>
      <c r="E180" s="220"/>
      <c r="F180" s="123">
        <f>F181+F190</f>
        <v>52406.9</v>
      </c>
      <c r="G180" s="123">
        <f t="shared" ref="G180:L180" si="36">G181+G190</f>
        <v>1679</v>
      </c>
      <c r="H180" s="123">
        <f>H181+H190</f>
        <v>52406.9</v>
      </c>
      <c r="I180" s="123">
        <f t="shared" ref="I180" si="37">I181+I190</f>
        <v>1679</v>
      </c>
      <c r="J180" s="313">
        <f t="shared" si="36"/>
        <v>52406.9</v>
      </c>
      <c r="K180" s="511">
        <f t="shared" si="31"/>
        <v>1</v>
      </c>
      <c r="L180" s="227">
        <f t="shared" si="36"/>
        <v>1679</v>
      </c>
      <c r="M180" s="511">
        <f t="shared" si="33"/>
        <v>1</v>
      </c>
      <c r="N180" s="116"/>
      <c r="P180" s="116"/>
      <c r="Q180" s="116"/>
    </row>
    <row r="181" spans="1:17" s="106" customFormat="1" ht="47.25" x14ac:dyDescent="0.25">
      <c r="A181" s="199" t="s">
        <v>575</v>
      </c>
      <c r="B181" s="148" t="s">
        <v>29</v>
      </c>
      <c r="C181" s="4">
        <v>13</v>
      </c>
      <c r="D181" s="568" t="s">
        <v>240</v>
      </c>
      <c r="E181" s="220"/>
      <c r="F181" s="123">
        <f>F186+F182</f>
        <v>2613</v>
      </c>
      <c r="G181" s="123">
        <f t="shared" ref="G181:J181" si="38">G186+G182</f>
        <v>1679</v>
      </c>
      <c r="H181" s="123">
        <f>H186+H182</f>
        <v>2613</v>
      </c>
      <c r="I181" s="123">
        <f t="shared" ref="I181" si="39">I186+I182</f>
        <v>1679</v>
      </c>
      <c r="J181" s="313">
        <f t="shared" si="38"/>
        <v>2613</v>
      </c>
      <c r="K181" s="511">
        <f t="shared" si="31"/>
        <v>1</v>
      </c>
      <c r="L181" s="227">
        <f>L182</f>
        <v>1679</v>
      </c>
      <c r="M181" s="511">
        <f t="shared" si="33"/>
        <v>1</v>
      </c>
      <c r="N181" s="116"/>
      <c r="P181" s="116"/>
      <c r="Q181" s="116"/>
    </row>
    <row r="182" spans="1:17" s="106" customFormat="1" ht="31.5" x14ac:dyDescent="0.25">
      <c r="A182" s="369" t="s">
        <v>817</v>
      </c>
      <c r="B182" s="349" t="s">
        <v>29</v>
      </c>
      <c r="C182" s="350">
        <v>13</v>
      </c>
      <c r="D182" s="570" t="s">
        <v>818</v>
      </c>
      <c r="E182" s="427"/>
      <c r="F182" s="123">
        <f>F183</f>
        <v>1768</v>
      </c>
      <c r="G182" s="123">
        <f t="shared" ref="G182:J184" si="40">G183</f>
        <v>1679</v>
      </c>
      <c r="H182" s="123">
        <f>H183</f>
        <v>1768</v>
      </c>
      <c r="I182" s="123">
        <f t="shared" si="40"/>
        <v>1679</v>
      </c>
      <c r="J182" s="313">
        <f t="shared" si="40"/>
        <v>1768</v>
      </c>
      <c r="K182" s="511">
        <f t="shared" si="31"/>
        <v>1</v>
      </c>
      <c r="L182" s="227">
        <f>L183</f>
        <v>1679</v>
      </c>
      <c r="M182" s="511">
        <f t="shared" si="33"/>
        <v>1</v>
      </c>
      <c r="N182" s="116"/>
      <c r="P182" s="116"/>
      <c r="Q182" s="116"/>
    </row>
    <row r="183" spans="1:17" s="106" customFormat="1" ht="31.5" x14ac:dyDescent="0.25">
      <c r="A183" s="369" t="s">
        <v>815</v>
      </c>
      <c r="B183" s="349" t="s">
        <v>29</v>
      </c>
      <c r="C183" s="350">
        <v>13</v>
      </c>
      <c r="D183" s="570" t="s">
        <v>816</v>
      </c>
      <c r="E183" s="427"/>
      <c r="F183" s="123">
        <f>F184</f>
        <v>1768</v>
      </c>
      <c r="G183" s="123">
        <f t="shared" si="40"/>
        <v>1679</v>
      </c>
      <c r="H183" s="123">
        <f>H184</f>
        <v>1768</v>
      </c>
      <c r="I183" s="123">
        <f t="shared" si="40"/>
        <v>1679</v>
      </c>
      <c r="J183" s="313">
        <f t="shared" si="40"/>
        <v>1768</v>
      </c>
      <c r="K183" s="511">
        <f t="shared" si="31"/>
        <v>1</v>
      </c>
      <c r="L183" s="227">
        <f>L184</f>
        <v>1679</v>
      </c>
      <c r="M183" s="511">
        <f t="shared" si="33"/>
        <v>1</v>
      </c>
      <c r="N183" s="116"/>
      <c r="P183" s="116"/>
      <c r="Q183" s="116"/>
    </row>
    <row r="184" spans="1:17" s="106" customFormat="1" ht="31.5" x14ac:dyDescent="0.25">
      <c r="A184" s="347" t="s">
        <v>61</v>
      </c>
      <c r="B184" s="349" t="s">
        <v>29</v>
      </c>
      <c r="C184" s="350">
        <v>13</v>
      </c>
      <c r="D184" s="570" t="s">
        <v>816</v>
      </c>
      <c r="E184" s="427">
        <v>600</v>
      </c>
      <c r="F184" s="123">
        <f>F185</f>
        <v>1768</v>
      </c>
      <c r="G184" s="123">
        <f>G185</f>
        <v>1679</v>
      </c>
      <c r="H184" s="123">
        <f>H185</f>
        <v>1768</v>
      </c>
      <c r="I184" s="123">
        <f>I185</f>
        <v>1679</v>
      </c>
      <c r="J184" s="313">
        <f t="shared" si="40"/>
        <v>1768</v>
      </c>
      <c r="K184" s="511">
        <f t="shared" si="31"/>
        <v>1</v>
      </c>
      <c r="L184" s="227">
        <f>L185</f>
        <v>1679</v>
      </c>
      <c r="M184" s="511">
        <f t="shared" si="33"/>
        <v>1</v>
      </c>
      <c r="N184" s="116"/>
      <c r="P184" s="116"/>
      <c r="Q184" s="116"/>
    </row>
    <row r="185" spans="1:17" s="106" customFormat="1" x14ac:dyDescent="0.25">
      <c r="A185" s="347" t="s">
        <v>62</v>
      </c>
      <c r="B185" s="349" t="s">
        <v>29</v>
      </c>
      <c r="C185" s="350">
        <v>13</v>
      </c>
      <c r="D185" s="570" t="s">
        <v>816</v>
      </c>
      <c r="E185" s="427">
        <v>610</v>
      </c>
      <c r="F185" s="123">
        <f>'ведом. 2024-2026'!AD109</f>
        <v>1768</v>
      </c>
      <c r="G185" s="227">
        <v>1679</v>
      </c>
      <c r="H185" s="123">
        <f>'ведом. 2024-2026'!AE109</f>
        <v>1768</v>
      </c>
      <c r="I185" s="227">
        <v>1679</v>
      </c>
      <c r="J185" s="313">
        <f>'ведом. 2024-2026'!AF109</f>
        <v>1768</v>
      </c>
      <c r="K185" s="511">
        <f t="shared" si="31"/>
        <v>1</v>
      </c>
      <c r="L185" s="227">
        <v>1679</v>
      </c>
      <c r="M185" s="511">
        <f t="shared" si="33"/>
        <v>1</v>
      </c>
      <c r="N185" s="116"/>
      <c r="P185" s="116"/>
      <c r="Q185" s="116"/>
    </row>
    <row r="186" spans="1:17" s="106" customFormat="1" ht="47.25" x14ac:dyDescent="0.25">
      <c r="A186" s="197" t="s">
        <v>421</v>
      </c>
      <c r="B186" s="148" t="s">
        <v>29</v>
      </c>
      <c r="C186" s="4">
        <v>13</v>
      </c>
      <c r="D186" s="568" t="s">
        <v>241</v>
      </c>
      <c r="E186" s="220"/>
      <c r="F186" s="123">
        <f t="shared" ref="F186:J188" si="41">F187</f>
        <v>845</v>
      </c>
      <c r="G186" s="227"/>
      <c r="H186" s="123">
        <f t="shared" si="41"/>
        <v>845</v>
      </c>
      <c r="I186" s="227"/>
      <c r="J186" s="313">
        <f t="shared" si="41"/>
        <v>845</v>
      </c>
      <c r="K186" s="511">
        <f t="shared" si="31"/>
        <v>1</v>
      </c>
      <c r="L186" s="227"/>
      <c r="M186" s="511"/>
      <c r="N186" s="116"/>
      <c r="P186" s="116"/>
      <c r="Q186" s="116"/>
    </row>
    <row r="187" spans="1:17" s="106" customFormat="1" ht="67.150000000000006" customHeight="1" x14ac:dyDescent="0.25">
      <c r="A187" s="197" t="s">
        <v>669</v>
      </c>
      <c r="B187" s="148" t="s">
        <v>29</v>
      </c>
      <c r="C187" s="4">
        <v>13</v>
      </c>
      <c r="D187" s="211" t="s">
        <v>670</v>
      </c>
      <c r="E187" s="220"/>
      <c r="F187" s="123">
        <f t="shared" si="41"/>
        <v>845</v>
      </c>
      <c r="G187" s="227"/>
      <c r="H187" s="123">
        <f t="shared" si="41"/>
        <v>845</v>
      </c>
      <c r="I187" s="227"/>
      <c r="J187" s="313">
        <f t="shared" si="41"/>
        <v>845</v>
      </c>
      <c r="K187" s="511">
        <f t="shared" si="31"/>
        <v>1</v>
      </c>
      <c r="L187" s="227"/>
      <c r="M187" s="511"/>
      <c r="N187" s="116"/>
      <c r="P187" s="116"/>
      <c r="Q187" s="116"/>
    </row>
    <row r="188" spans="1:17" s="106" customFormat="1" ht="31.5" x14ac:dyDescent="0.25">
      <c r="A188" s="197" t="s">
        <v>61</v>
      </c>
      <c r="B188" s="148" t="s">
        <v>29</v>
      </c>
      <c r="C188" s="4">
        <v>13</v>
      </c>
      <c r="D188" s="211" t="s">
        <v>670</v>
      </c>
      <c r="E188" s="220">
        <v>600</v>
      </c>
      <c r="F188" s="123">
        <f t="shared" si="41"/>
        <v>845</v>
      </c>
      <c r="G188" s="227"/>
      <c r="H188" s="123">
        <f t="shared" si="41"/>
        <v>845</v>
      </c>
      <c r="I188" s="227"/>
      <c r="J188" s="313">
        <f t="shared" si="41"/>
        <v>845</v>
      </c>
      <c r="K188" s="511">
        <f t="shared" si="31"/>
        <v>1</v>
      </c>
      <c r="L188" s="227"/>
      <c r="M188" s="511"/>
      <c r="N188" s="116"/>
      <c r="P188" s="116"/>
      <c r="Q188" s="116"/>
    </row>
    <row r="189" spans="1:17" s="106" customFormat="1" x14ac:dyDescent="0.25">
      <c r="A189" s="197" t="s">
        <v>62</v>
      </c>
      <c r="B189" s="148" t="s">
        <v>29</v>
      </c>
      <c r="C189" s="4">
        <v>13</v>
      </c>
      <c r="D189" s="211" t="s">
        <v>670</v>
      </c>
      <c r="E189" s="220">
        <v>610</v>
      </c>
      <c r="F189" s="123">
        <f>'ведом. 2024-2026'!AD113</f>
        <v>845</v>
      </c>
      <c r="G189" s="227"/>
      <c r="H189" s="123">
        <f>'ведом. 2024-2026'!AE113</f>
        <v>845</v>
      </c>
      <c r="I189" s="227"/>
      <c r="J189" s="313">
        <f>'ведом. 2024-2026'!AF113</f>
        <v>845</v>
      </c>
      <c r="K189" s="511">
        <f t="shared" si="31"/>
        <v>1</v>
      </c>
      <c r="L189" s="227"/>
      <c r="M189" s="511"/>
      <c r="N189" s="116"/>
      <c r="P189" s="116"/>
      <c r="Q189" s="116"/>
    </row>
    <row r="190" spans="1:17" s="106" customFormat="1" x14ac:dyDescent="0.25">
      <c r="A190" s="231" t="s">
        <v>47</v>
      </c>
      <c r="B190" s="148" t="s">
        <v>29</v>
      </c>
      <c r="C190" s="4">
        <v>13</v>
      </c>
      <c r="D190" s="568" t="s">
        <v>576</v>
      </c>
      <c r="E190" s="220"/>
      <c r="F190" s="123">
        <f>F191</f>
        <v>49793.9</v>
      </c>
      <c r="G190" s="227"/>
      <c r="H190" s="123">
        <f>H191</f>
        <v>49793.9</v>
      </c>
      <c r="I190" s="227"/>
      <c r="J190" s="313">
        <f>J191</f>
        <v>49793.9</v>
      </c>
      <c r="K190" s="511">
        <f t="shared" si="31"/>
        <v>1</v>
      </c>
      <c r="L190" s="227"/>
      <c r="M190" s="511"/>
      <c r="N190" s="116"/>
      <c r="P190" s="116"/>
      <c r="Q190" s="116"/>
    </row>
    <row r="191" spans="1:17" s="106" customFormat="1" ht="31.5" x14ac:dyDescent="0.25">
      <c r="A191" s="231" t="s">
        <v>339</v>
      </c>
      <c r="B191" s="148" t="s">
        <v>29</v>
      </c>
      <c r="C191" s="4">
        <v>13</v>
      </c>
      <c r="D191" s="568" t="s">
        <v>577</v>
      </c>
      <c r="E191" s="220"/>
      <c r="F191" s="123">
        <f>F192</f>
        <v>49793.9</v>
      </c>
      <c r="G191" s="227"/>
      <c r="H191" s="123">
        <f>H192</f>
        <v>49793.9</v>
      </c>
      <c r="I191" s="227"/>
      <c r="J191" s="313">
        <f>J192</f>
        <v>49793.9</v>
      </c>
      <c r="K191" s="511">
        <f t="shared" si="31"/>
        <v>1</v>
      </c>
      <c r="L191" s="227"/>
      <c r="M191" s="511"/>
      <c r="N191" s="116"/>
      <c r="P191" s="116"/>
      <c r="Q191" s="116"/>
    </row>
    <row r="192" spans="1:17" s="106" customFormat="1" ht="31.5" x14ac:dyDescent="0.25">
      <c r="A192" s="231" t="s">
        <v>242</v>
      </c>
      <c r="B192" s="148" t="s">
        <v>29</v>
      </c>
      <c r="C192" s="4">
        <v>13</v>
      </c>
      <c r="D192" s="568" t="s">
        <v>578</v>
      </c>
      <c r="E192" s="220"/>
      <c r="F192" s="123">
        <f>F193</f>
        <v>49793.9</v>
      </c>
      <c r="G192" s="227"/>
      <c r="H192" s="123">
        <f>H193</f>
        <v>49793.9</v>
      </c>
      <c r="I192" s="227"/>
      <c r="J192" s="313">
        <f>J193</f>
        <v>49793.9</v>
      </c>
      <c r="K192" s="511">
        <f t="shared" si="31"/>
        <v>1</v>
      </c>
      <c r="L192" s="227"/>
      <c r="M192" s="511"/>
      <c r="N192" s="116"/>
      <c r="P192" s="116"/>
      <c r="Q192" s="116"/>
    </row>
    <row r="193" spans="1:17" s="106" customFormat="1" ht="31.5" x14ac:dyDescent="0.25">
      <c r="A193" s="197" t="s">
        <v>61</v>
      </c>
      <c r="B193" s="148" t="s">
        <v>29</v>
      </c>
      <c r="C193" s="4">
        <v>13</v>
      </c>
      <c r="D193" s="568" t="s">
        <v>578</v>
      </c>
      <c r="E193" s="220">
        <v>600</v>
      </c>
      <c r="F193" s="123">
        <f>F194</f>
        <v>49793.9</v>
      </c>
      <c r="G193" s="227"/>
      <c r="H193" s="123">
        <f>H194</f>
        <v>49793.9</v>
      </c>
      <c r="I193" s="227"/>
      <c r="J193" s="313">
        <f>J194</f>
        <v>49793.9</v>
      </c>
      <c r="K193" s="511">
        <f t="shared" si="31"/>
        <v>1</v>
      </c>
      <c r="L193" s="227"/>
      <c r="M193" s="511"/>
      <c r="N193" s="116"/>
      <c r="P193" s="116"/>
      <c r="Q193" s="116"/>
    </row>
    <row r="194" spans="1:17" s="106" customFormat="1" x14ac:dyDescent="0.25">
      <c r="A194" s="197" t="s">
        <v>62</v>
      </c>
      <c r="B194" s="148" t="s">
        <v>29</v>
      </c>
      <c r="C194" s="4">
        <v>13</v>
      </c>
      <c r="D194" s="568" t="s">
        <v>578</v>
      </c>
      <c r="E194" s="220">
        <v>610</v>
      </c>
      <c r="F194" s="123">
        <f>'ведом. 2024-2026'!AD118</f>
        <v>49793.9</v>
      </c>
      <c r="G194" s="227"/>
      <c r="H194" s="123">
        <f>'ведом. 2024-2026'!AE118</f>
        <v>49793.9</v>
      </c>
      <c r="I194" s="227"/>
      <c r="J194" s="313">
        <f>'ведом. 2024-2026'!AF118</f>
        <v>49793.9</v>
      </c>
      <c r="K194" s="511">
        <f t="shared" si="31"/>
        <v>1</v>
      </c>
      <c r="L194" s="227"/>
      <c r="M194" s="511"/>
      <c r="N194" s="116"/>
      <c r="P194" s="116"/>
      <c r="Q194" s="116"/>
    </row>
    <row r="195" spans="1:17" s="106" customFormat="1" x14ac:dyDescent="0.25">
      <c r="A195" s="199" t="s">
        <v>227</v>
      </c>
      <c r="B195" s="148" t="s">
        <v>29</v>
      </c>
      <c r="C195" s="4">
        <v>13</v>
      </c>
      <c r="D195" s="568" t="s">
        <v>138</v>
      </c>
      <c r="E195" s="223"/>
      <c r="F195" s="123">
        <f>F196+F199</f>
        <v>34365.300000000032</v>
      </c>
      <c r="G195" s="227"/>
      <c r="H195" s="123">
        <f>H196+H199</f>
        <v>135237.30000000002</v>
      </c>
      <c r="I195" s="227"/>
      <c r="J195" s="313">
        <f>J196+J199</f>
        <v>4365.2</v>
      </c>
      <c r="K195" s="511">
        <f t="shared" si="31"/>
        <v>3.2278077128129586E-2</v>
      </c>
      <c r="L195" s="227"/>
      <c r="M195" s="511"/>
      <c r="N195" s="116"/>
      <c r="P195" s="116"/>
      <c r="Q195" s="116"/>
    </row>
    <row r="196" spans="1:17" s="106" customFormat="1" x14ac:dyDescent="0.25">
      <c r="A196" s="200" t="s">
        <v>228</v>
      </c>
      <c r="B196" s="149" t="s">
        <v>29</v>
      </c>
      <c r="C196" s="143">
        <v>13</v>
      </c>
      <c r="D196" s="568" t="s">
        <v>229</v>
      </c>
      <c r="E196" s="589"/>
      <c r="F196" s="123">
        <f>F197</f>
        <v>3528.3999999999996</v>
      </c>
      <c r="G196" s="227"/>
      <c r="H196" s="123">
        <f>H197</f>
        <v>3528.3999999999996</v>
      </c>
      <c r="I196" s="227"/>
      <c r="J196" s="313">
        <f>J197</f>
        <v>3528.3</v>
      </c>
      <c r="K196" s="511">
        <f t="shared" si="31"/>
        <v>0.99997165854211556</v>
      </c>
      <c r="L196" s="227"/>
      <c r="M196" s="511"/>
      <c r="N196" s="116"/>
      <c r="P196" s="116"/>
      <c r="Q196" s="116"/>
    </row>
    <row r="197" spans="1:17" s="106" customFormat="1" x14ac:dyDescent="0.25">
      <c r="A197" s="268" t="s">
        <v>42</v>
      </c>
      <c r="B197" s="149" t="s">
        <v>29</v>
      </c>
      <c r="C197" s="143">
        <v>13</v>
      </c>
      <c r="D197" s="568" t="s">
        <v>229</v>
      </c>
      <c r="E197" s="589">
        <v>800</v>
      </c>
      <c r="F197" s="123">
        <f>F198</f>
        <v>3528.3999999999996</v>
      </c>
      <c r="G197" s="227"/>
      <c r="H197" s="123">
        <f>H198</f>
        <v>3528.3999999999996</v>
      </c>
      <c r="I197" s="227"/>
      <c r="J197" s="313">
        <f>J198</f>
        <v>3528.3</v>
      </c>
      <c r="K197" s="511">
        <f t="shared" si="31"/>
        <v>0.99997165854211556</v>
      </c>
      <c r="L197" s="227"/>
      <c r="M197" s="511"/>
      <c r="N197" s="116"/>
      <c r="P197" s="116"/>
      <c r="Q197" s="116"/>
    </row>
    <row r="198" spans="1:17" s="106" customFormat="1" x14ac:dyDescent="0.25">
      <c r="A198" s="268" t="s">
        <v>133</v>
      </c>
      <c r="B198" s="149" t="s">
        <v>29</v>
      </c>
      <c r="C198" s="143">
        <v>13</v>
      </c>
      <c r="D198" s="568" t="s">
        <v>229</v>
      </c>
      <c r="E198" s="589">
        <v>830</v>
      </c>
      <c r="F198" s="123">
        <f>'ведом. 2024-2026'!AD122+'ведом. 2024-2026'!AD833+'ведом. 2024-2026'!AD596</f>
        <v>3528.3999999999996</v>
      </c>
      <c r="G198" s="227"/>
      <c r="H198" s="123">
        <f>'ведом. 2024-2026'!AE122+'ведом. 2024-2026'!AE833+'ведом. 2024-2026'!AE596</f>
        <v>3528.3999999999996</v>
      </c>
      <c r="I198" s="227"/>
      <c r="J198" s="313">
        <f>'ведом. 2024-2026'!AF122+'ведом. 2024-2026'!AF833+'ведом. 2024-2026'!AF596</f>
        <v>3528.3</v>
      </c>
      <c r="K198" s="511">
        <f t="shared" si="31"/>
        <v>0.99997165854211556</v>
      </c>
      <c r="L198" s="227"/>
      <c r="M198" s="511"/>
      <c r="N198" s="116"/>
      <c r="P198" s="116"/>
      <c r="Q198" s="116"/>
    </row>
    <row r="199" spans="1:17" s="106" customFormat="1" x14ac:dyDescent="0.25">
      <c r="A199" s="276" t="s">
        <v>453</v>
      </c>
      <c r="B199" s="149" t="s">
        <v>29</v>
      </c>
      <c r="C199" s="143">
        <v>13</v>
      </c>
      <c r="D199" s="573" t="s">
        <v>454</v>
      </c>
      <c r="E199" s="589"/>
      <c r="F199" s="123">
        <f>F206+F200+F203+F212+F209</f>
        <v>30836.900000000034</v>
      </c>
      <c r="G199" s="123"/>
      <c r="H199" s="123">
        <f t="shared" ref="H199:J199" si="42">H206+H200+H203+H212+H209</f>
        <v>131708.90000000002</v>
      </c>
      <c r="I199" s="123"/>
      <c r="J199" s="313">
        <f t="shared" si="42"/>
        <v>836.9</v>
      </c>
      <c r="K199" s="511">
        <f t="shared" si="31"/>
        <v>6.3541643730985519E-3</v>
      </c>
      <c r="L199" s="227"/>
      <c r="M199" s="511"/>
      <c r="N199" s="116"/>
      <c r="P199" s="116"/>
      <c r="Q199" s="116"/>
    </row>
    <row r="200" spans="1:17" s="106" customFormat="1" x14ac:dyDescent="0.25">
      <c r="A200" s="197" t="s">
        <v>716</v>
      </c>
      <c r="B200" s="8" t="s">
        <v>29</v>
      </c>
      <c r="C200" s="143">
        <v>13</v>
      </c>
      <c r="D200" s="574" t="s">
        <v>717</v>
      </c>
      <c r="E200" s="589"/>
      <c r="F200" s="123">
        <f>F201</f>
        <v>80</v>
      </c>
      <c r="G200" s="123"/>
      <c r="H200" s="123">
        <f>H201</f>
        <v>80</v>
      </c>
      <c r="I200" s="123"/>
      <c r="J200" s="313">
        <f t="shared" ref="J200:J201" si="43">J201</f>
        <v>80</v>
      </c>
      <c r="K200" s="511">
        <f t="shared" si="31"/>
        <v>1</v>
      </c>
      <c r="L200" s="227"/>
      <c r="M200" s="511"/>
      <c r="N200" s="116"/>
      <c r="P200" s="116"/>
      <c r="Q200" s="116"/>
    </row>
    <row r="201" spans="1:17" s="106" customFormat="1" x14ac:dyDescent="0.25">
      <c r="A201" s="197" t="s">
        <v>42</v>
      </c>
      <c r="B201" s="8" t="s">
        <v>29</v>
      </c>
      <c r="C201" s="143">
        <v>13</v>
      </c>
      <c r="D201" s="574" t="s">
        <v>717</v>
      </c>
      <c r="E201" s="589">
        <v>800</v>
      </c>
      <c r="F201" s="123">
        <f>F202</f>
        <v>80</v>
      </c>
      <c r="G201" s="123"/>
      <c r="H201" s="123">
        <f>H202</f>
        <v>80</v>
      </c>
      <c r="I201" s="123"/>
      <c r="J201" s="313">
        <f t="shared" si="43"/>
        <v>80</v>
      </c>
      <c r="K201" s="511">
        <f t="shared" si="31"/>
        <v>1</v>
      </c>
      <c r="L201" s="227"/>
      <c r="M201" s="511"/>
      <c r="N201" s="116"/>
      <c r="P201" s="116"/>
      <c r="Q201" s="116"/>
    </row>
    <row r="202" spans="1:17" s="106" customFormat="1" x14ac:dyDescent="0.25">
      <c r="A202" s="197" t="s">
        <v>58</v>
      </c>
      <c r="B202" s="8" t="s">
        <v>29</v>
      </c>
      <c r="C202" s="143">
        <v>13</v>
      </c>
      <c r="D202" s="574" t="s">
        <v>717</v>
      </c>
      <c r="E202" s="589">
        <v>850</v>
      </c>
      <c r="F202" s="123">
        <f>'ведом. 2024-2026'!AD126</f>
        <v>80</v>
      </c>
      <c r="G202" s="227"/>
      <c r="H202" s="123">
        <f>'ведом. 2024-2026'!AE126</f>
        <v>80</v>
      </c>
      <c r="I202" s="227"/>
      <c r="J202" s="313">
        <f>'ведом. 2024-2026'!AF126</f>
        <v>80</v>
      </c>
      <c r="K202" s="511">
        <f t="shared" si="31"/>
        <v>1</v>
      </c>
      <c r="L202" s="227"/>
      <c r="M202" s="511"/>
      <c r="N202" s="116"/>
      <c r="P202" s="116"/>
      <c r="Q202" s="116"/>
    </row>
    <row r="203" spans="1:17" s="106" customFormat="1" ht="47.25" x14ac:dyDescent="0.25">
      <c r="A203" s="197" t="s">
        <v>751</v>
      </c>
      <c r="B203" s="8" t="s">
        <v>29</v>
      </c>
      <c r="C203" s="143">
        <v>13</v>
      </c>
      <c r="D203" s="574" t="s">
        <v>461</v>
      </c>
      <c r="E203" s="589"/>
      <c r="F203" s="123">
        <f>F204</f>
        <v>109.5</v>
      </c>
      <c r="G203" s="123"/>
      <c r="H203" s="123">
        <f>H204</f>
        <v>109.5</v>
      </c>
      <c r="I203" s="123"/>
      <c r="J203" s="313">
        <f t="shared" ref="J203:J204" si="44">J204</f>
        <v>109.5</v>
      </c>
      <c r="K203" s="511">
        <f t="shared" si="31"/>
        <v>1</v>
      </c>
      <c r="L203" s="227"/>
      <c r="M203" s="511"/>
      <c r="N203" s="116"/>
      <c r="P203" s="116"/>
      <c r="Q203" s="116"/>
    </row>
    <row r="204" spans="1:17" s="106" customFormat="1" x14ac:dyDescent="0.25">
      <c r="A204" s="197" t="s">
        <v>42</v>
      </c>
      <c r="B204" s="8" t="s">
        <v>29</v>
      </c>
      <c r="C204" s="143">
        <v>13</v>
      </c>
      <c r="D204" s="574" t="s">
        <v>461</v>
      </c>
      <c r="E204" s="589">
        <v>800</v>
      </c>
      <c r="F204" s="123">
        <f>F205</f>
        <v>109.5</v>
      </c>
      <c r="G204" s="123"/>
      <c r="H204" s="123">
        <f>H205</f>
        <v>109.5</v>
      </c>
      <c r="I204" s="123"/>
      <c r="J204" s="313">
        <f t="shared" si="44"/>
        <v>109.5</v>
      </c>
      <c r="K204" s="511">
        <f t="shared" ref="K204:K267" si="45">J204/H204</f>
        <v>1</v>
      </c>
      <c r="L204" s="227"/>
      <c r="M204" s="511"/>
      <c r="N204" s="116"/>
      <c r="P204" s="116"/>
      <c r="Q204" s="116"/>
    </row>
    <row r="205" spans="1:17" s="106" customFormat="1" x14ac:dyDescent="0.25">
      <c r="A205" s="197" t="s">
        <v>58</v>
      </c>
      <c r="B205" s="8" t="s">
        <v>29</v>
      </c>
      <c r="C205" s="143">
        <v>13</v>
      </c>
      <c r="D205" s="574" t="s">
        <v>461</v>
      </c>
      <c r="E205" s="589">
        <v>850</v>
      </c>
      <c r="F205" s="123">
        <f>'ведом. 2024-2026'!AD129</f>
        <v>109.5</v>
      </c>
      <c r="G205" s="227"/>
      <c r="H205" s="123">
        <f>'ведом. 2024-2026'!AE129</f>
        <v>109.5</v>
      </c>
      <c r="I205" s="227"/>
      <c r="J205" s="313">
        <f>'ведом. 2024-2026'!AF129</f>
        <v>109.5</v>
      </c>
      <c r="K205" s="511">
        <f t="shared" si="45"/>
        <v>1</v>
      </c>
      <c r="L205" s="227"/>
      <c r="M205" s="511"/>
      <c r="N205" s="116"/>
      <c r="P205" s="116"/>
      <c r="Q205" s="116"/>
    </row>
    <row r="206" spans="1:17" s="156" customFormat="1" ht="31.5" x14ac:dyDescent="0.25">
      <c r="A206" s="197" t="s">
        <v>462</v>
      </c>
      <c r="B206" s="149" t="s">
        <v>29</v>
      </c>
      <c r="C206" s="143">
        <v>13</v>
      </c>
      <c r="D206" s="543" t="s">
        <v>463</v>
      </c>
      <c r="E206" s="589"/>
      <c r="F206" s="123">
        <f>F207</f>
        <v>30000.000000000033</v>
      </c>
      <c r="G206" s="227"/>
      <c r="H206" s="123">
        <f>H207</f>
        <v>30872.000000000033</v>
      </c>
      <c r="I206" s="227"/>
      <c r="J206" s="313">
        <f>J207</f>
        <v>0</v>
      </c>
      <c r="K206" s="511">
        <f t="shared" si="45"/>
        <v>0</v>
      </c>
      <c r="L206" s="227"/>
      <c r="M206" s="511"/>
      <c r="N206" s="155"/>
      <c r="P206" s="155"/>
      <c r="Q206" s="155"/>
    </row>
    <row r="207" spans="1:17" s="156" customFormat="1" x14ac:dyDescent="0.25">
      <c r="A207" s="197" t="s">
        <v>42</v>
      </c>
      <c r="B207" s="149" t="s">
        <v>29</v>
      </c>
      <c r="C207" s="143">
        <v>13</v>
      </c>
      <c r="D207" s="543" t="s">
        <v>463</v>
      </c>
      <c r="E207" s="589">
        <v>800</v>
      </c>
      <c r="F207" s="123">
        <f>F208</f>
        <v>30000.000000000033</v>
      </c>
      <c r="G207" s="227"/>
      <c r="H207" s="123">
        <f>H208</f>
        <v>30872.000000000033</v>
      </c>
      <c r="I207" s="227"/>
      <c r="J207" s="313">
        <f>J208</f>
        <v>0</v>
      </c>
      <c r="K207" s="511">
        <f t="shared" si="45"/>
        <v>0</v>
      </c>
      <c r="L207" s="227"/>
      <c r="M207" s="511"/>
      <c r="N207" s="155"/>
      <c r="P207" s="155"/>
      <c r="Q207" s="155"/>
    </row>
    <row r="208" spans="1:17" s="156" customFormat="1" x14ac:dyDescent="0.25">
      <c r="A208" s="197" t="s">
        <v>137</v>
      </c>
      <c r="B208" s="149" t="s">
        <v>29</v>
      </c>
      <c r="C208" s="143">
        <v>13</v>
      </c>
      <c r="D208" s="543" t="s">
        <v>463</v>
      </c>
      <c r="E208" s="589">
        <v>870</v>
      </c>
      <c r="F208" s="123">
        <f>'ведом. 2024-2026'!AD132</f>
        <v>30000.000000000033</v>
      </c>
      <c r="G208" s="227"/>
      <c r="H208" s="123">
        <f>'ведом. 2024-2026'!AE132</f>
        <v>30872.000000000033</v>
      </c>
      <c r="I208" s="227"/>
      <c r="J208" s="313">
        <f>'ведом. 2024-2026'!AF132</f>
        <v>0</v>
      </c>
      <c r="K208" s="511">
        <f t="shared" si="45"/>
        <v>0</v>
      </c>
      <c r="L208" s="227"/>
      <c r="M208" s="511"/>
      <c r="N208" s="155"/>
      <c r="P208" s="155"/>
      <c r="Q208" s="155"/>
    </row>
    <row r="209" spans="1:17" s="156" customFormat="1" x14ac:dyDescent="0.25">
      <c r="A209" s="347" t="s">
        <v>829</v>
      </c>
      <c r="B209" s="375" t="s">
        <v>29</v>
      </c>
      <c r="C209" s="376">
        <v>13</v>
      </c>
      <c r="D209" s="544" t="str">
        <f>D210</f>
        <v>99 0 00 04007</v>
      </c>
      <c r="E209" s="591"/>
      <c r="F209" s="123">
        <f>F210</f>
        <v>0</v>
      </c>
      <c r="G209" s="123"/>
      <c r="H209" s="123">
        <f t="shared" ref="H209:J210" si="46">H210</f>
        <v>100000</v>
      </c>
      <c r="I209" s="123"/>
      <c r="J209" s="313">
        <f t="shared" si="46"/>
        <v>0</v>
      </c>
      <c r="K209" s="511">
        <f t="shared" si="45"/>
        <v>0</v>
      </c>
      <c r="L209" s="227"/>
      <c r="M209" s="511"/>
      <c r="N209" s="155"/>
      <c r="P209" s="155"/>
      <c r="Q209" s="155"/>
    </row>
    <row r="210" spans="1:17" s="156" customFormat="1" x14ac:dyDescent="0.25">
      <c r="A210" s="347" t="s">
        <v>42</v>
      </c>
      <c r="B210" s="375" t="s">
        <v>29</v>
      </c>
      <c r="C210" s="376">
        <v>13</v>
      </c>
      <c r="D210" s="544" t="str">
        <f>D211</f>
        <v>99 0 00 04007</v>
      </c>
      <c r="E210" s="591">
        <v>800</v>
      </c>
      <c r="F210" s="123">
        <f>F211</f>
        <v>0</v>
      </c>
      <c r="G210" s="123"/>
      <c r="H210" s="123">
        <f t="shared" si="46"/>
        <v>100000</v>
      </c>
      <c r="I210" s="123"/>
      <c r="J210" s="313">
        <f t="shared" si="46"/>
        <v>0</v>
      </c>
      <c r="K210" s="511">
        <f t="shared" si="45"/>
        <v>0</v>
      </c>
      <c r="L210" s="227"/>
      <c r="M210" s="511"/>
      <c r="N210" s="155"/>
      <c r="P210" s="155"/>
      <c r="Q210" s="155"/>
    </row>
    <row r="211" spans="1:17" s="156" customFormat="1" x14ac:dyDescent="0.25">
      <c r="A211" s="347" t="s">
        <v>137</v>
      </c>
      <c r="B211" s="375" t="s">
        <v>29</v>
      </c>
      <c r="C211" s="376">
        <v>13</v>
      </c>
      <c r="D211" s="544" t="s">
        <v>830</v>
      </c>
      <c r="E211" s="591">
        <v>870</v>
      </c>
      <c r="F211" s="123">
        <f>'ведом. 2024-2026'!AD135</f>
        <v>0</v>
      </c>
      <c r="G211" s="227"/>
      <c r="H211" s="123">
        <f>'ведом. 2024-2026'!AE135</f>
        <v>100000</v>
      </c>
      <c r="I211" s="227"/>
      <c r="J211" s="313">
        <f>'ведом. 2024-2026'!AF135</f>
        <v>0</v>
      </c>
      <c r="K211" s="511">
        <f t="shared" si="45"/>
        <v>0</v>
      </c>
      <c r="L211" s="227"/>
      <c r="M211" s="511"/>
      <c r="N211" s="155"/>
      <c r="P211" s="155"/>
      <c r="Q211" s="155"/>
    </row>
    <row r="212" spans="1:17" s="156" customFormat="1" ht="47.25" x14ac:dyDescent="0.25">
      <c r="A212" s="197" t="s">
        <v>753</v>
      </c>
      <c r="B212" s="149" t="s">
        <v>29</v>
      </c>
      <c r="C212" s="143">
        <v>13</v>
      </c>
      <c r="D212" s="543" t="s">
        <v>459</v>
      </c>
      <c r="E212" s="589"/>
      <c r="F212" s="123">
        <f>F213</f>
        <v>647.4</v>
      </c>
      <c r="G212" s="123"/>
      <c r="H212" s="123">
        <f>H213</f>
        <v>647.4</v>
      </c>
      <c r="I212" s="123"/>
      <c r="J212" s="313">
        <f t="shared" ref="J212:J213" si="47">J213</f>
        <v>647.4</v>
      </c>
      <c r="K212" s="511">
        <f t="shared" si="45"/>
        <v>1</v>
      </c>
      <c r="L212" s="227"/>
      <c r="M212" s="511"/>
      <c r="N212" s="155"/>
      <c r="P212" s="155"/>
      <c r="Q212" s="155"/>
    </row>
    <row r="213" spans="1:17" s="156" customFormat="1" x14ac:dyDescent="0.25">
      <c r="A213" s="197" t="s">
        <v>42</v>
      </c>
      <c r="B213" s="149" t="s">
        <v>29</v>
      </c>
      <c r="C213" s="143">
        <v>13</v>
      </c>
      <c r="D213" s="543" t="s">
        <v>459</v>
      </c>
      <c r="E213" s="589">
        <v>800</v>
      </c>
      <c r="F213" s="123">
        <f>F214</f>
        <v>647.4</v>
      </c>
      <c r="G213" s="123"/>
      <c r="H213" s="123">
        <f>H214</f>
        <v>647.4</v>
      </c>
      <c r="I213" s="123"/>
      <c r="J213" s="313">
        <f t="shared" si="47"/>
        <v>647.4</v>
      </c>
      <c r="K213" s="511">
        <f t="shared" si="45"/>
        <v>1</v>
      </c>
      <c r="L213" s="227"/>
      <c r="M213" s="511"/>
      <c r="N213" s="155"/>
      <c r="P213" s="155"/>
      <c r="Q213" s="155"/>
    </row>
    <row r="214" spans="1:17" s="156" customFormat="1" x14ac:dyDescent="0.25">
      <c r="A214" s="197" t="s">
        <v>58</v>
      </c>
      <c r="B214" s="149" t="s">
        <v>29</v>
      </c>
      <c r="C214" s="143">
        <v>13</v>
      </c>
      <c r="D214" s="543" t="s">
        <v>459</v>
      </c>
      <c r="E214" s="589">
        <v>850</v>
      </c>
      <c r="F214" s="123">
        <f>'ведом. 2024-2026'!AD837</f>
        <v>647.4</v>
      </c>
      <c r="G214" s="227"/>
      <c r="H214" s="123">
        <f>'ведом. 2024-2026'!AE837</f>
        <v>647.4</v>
      </c>
      <c r="I214" s="227"/>
      <c r="J214" s="313">
        <f>'ведом. 2024-2026'!AF837</f>
        <v>647.4</v>
      </c>
      <c r="K214" s="511">
        <f t="shared" si="45"/>
        <v>1</v>
      </c>
      <c r="L214" s="227"/>
      <c r="M214" s="511"/>
      <c r="N214" s="155"/>
      <c r="P214" s="155"/>
      <c r="Q214" s="155"/>
    </row>
    <row r="215" spans="1:17" s="106" customFormat="1" x14ac:dyDescent="0.25">
      <c r="A215" s="277" t="s">
        <v>11</v>
      </c>
      <c r="B215" s="150" t="s">
        <v>30</v>
      </c>
      <c r="C215" s="145"/>
      <c r="D215" s="534"/>
      <c r="E215" s="592"/>
      <c r="F215" s="125">
        <f t="shared" ref="F215:L215" si="48">F216+F223</f>
        <v>4784.3</v>
      </c>
      <c r="G215" s="242">
        <f t="shared" si="48"/>
        <v>4299.3</v>
      </c>
      <c r="H215" s="125">
        <f t="shared" ref="H215:I215" si="49">H216+H223</f>
        <v>4784.3</v>
      </c>
      <c r="I215" s="242">
        <f t="shared" si="49"/>
        <v>4299.3</v>
      </c>
      <c r="J215" s="502">
        <f t="shared" si="48"/>
        <v>4784.3</v>
      </c>
      <c r="K215" s="512">
        <f t="shared" si="45"/>
        <v>1</v>
      </c>
      <c r="L215" s="242">
        <f t="shared" si="48"/>
        <v>4299.3</v>
      </c>
      <c r="M215" s="512">
        <f t="shared" ref="M215:M222" si="50">L215/I215</f>
        <v>1</v>
      </c>
      <c r="N215" s="116"/>
      <c r="P215" s="116"/>
      <c r="Q215" s="116"/>
    </row>
    <row r="216" spans="1:17" s="106" customFormat="1" x14ac:dyDescent="0.25">
      <c r="A216" s="268" t="s">
        <v>12</v>
      </c>
      <c r="B216" s="148" t="s">
        <v>30</v>
      </c>
      <c r="C216" s="4" t="s">
        <v>7</v>
      </c>
      <c r="D216" s="458"/>
      <c r="E216" s="221"/>
      <c r="F216" s="123">
        <f t="shared" ref="F216:L221" si="51">F217</f>
        <v>4299.3</v>
      </c>
      <c r="G216" s="227">
        <f t="shared" si="51"/>
        <v>4299.3</v>
      </c>
      <c r="H216" s="123">
        <f t="shared" si="51"/>
        <v>4299.3</v>
      </c>
      <c r="I216" s="227">
        <f t="shared" si="51"/>
        <v>4299.3</v>
      </c>
      <c r="J216" s="313">
        <f t="shared" si="51"/>
        <v>4299.3</v>
      </c>
      <c r="K216" s="511">
        <f t="shared" si="45"/>
        <v>1</v>
      </c>
      <c r="L216" s="227">
        <f t="shared" si="51"/>
        <v>4299.3</v>
      </c>
      <c r="M216" s="511">
        <f t="shared" si="50"/>
        <v>1</v>
      </c>
      <c r="N216" s="116"/>
      <c r="P216" s="116"/>
      <c r="Q216" s="116"/>
    </row>
    <row r="217" spans="1:17" s="106" customFormat="1" ht="31.5" x14ac:dyDescent="0.25">
      <c r="A217" s="199" t="s">
        <v>306</v>
      </c>
      <c r="B217" s="148" t="s">
        <v>30</v>
      </c>
      <c r="C217" s="4" t="s">
        <v>7</v>
      </c>
      <c r="D217" s="568" t="s">
        <v>132</v>
      </c>
      <c r="E217" s="221"/>
      <c r="F217" s="123">
        <f t="shared" si="51"/>
        <v>4299.3</v>
      </c>
      <c r="G217" s="227">
        <f t="shared" si="51"/>
        <v>4299.3</v>
      </c>
      <c r="H217" s="123">
        <f t="shared" si="51"/>
        <v>4299.3</v>
      </c>
      <c r="I217" s="227">
        <f t="shared" si="51"/>
        <v>4299.3</v>
      </c>
      <c r="J217" s="313">
        <f t="shared" si="51"/>
        <v>4299.3</v>
      </c>
      <c r="K217" s="511">
        <f t="shared" si="45"/>
        <v>1</v>
      </c>
      <c r="L217" s="227">
        <f t="shared" si="51"/>
        <v>4299.3</v>
      </c>
      <c r="M217" s="511">
        <f t="shared" si="50"/>
        <v>1</v>
      </c>
      <c r="N217" s="116"/>
      <c r="P217" s="116"/>
      <c r="Q217" s="116"/>
    </row>
    <row r="218" spans="1:17" s="106" customFormat="1" x14ac:dyDescent="0.25">
      <c r="A218" s="199" t="s">
        <v>47</v>
      </c>
      <c r="B218" s="148" t="s">
        <v>30</v>
      </c>
      <c r="C218" s="4" t="s">
        <v>7</v>
      </c>
      <c r="D218" s="568" t="s">
        <v>475</v>
      </c>
      <c r="E218" s="221"/>
      <c r="F218" s="123">
        <f t="shared" ref="F218:L220" si="52">F219</f>
        <v>4299.3</v>
      </c>
      <c r="G218" s="227">
        <f t="shared" si="52"/>
        <v>4299.3</v>
      </c>
      <c r="H218" s="123">
        <f t="shared" si="52"/>
        <v>4299.3</v>
      </c>
      <c r="I218" s="227">
        <f t="shared" si="52"/>
        <v>4299.3</v>
      </c>
      <c r="J218" s="313">
        <f t="shared" si="52"/>
        <v>4299.3</v>
      </c>
      <c r="K218" s="511">
        <f t="shared" si="45"/>
        <v>1</v>
      </c>
      <c r="L218" s="227">
        <f t="shared" si="52"/>
        <v>4299.3</v>
      </c>
      <c r="M218" s="511">
        <f t="shared" si="50"/>
        <v>1</v>
      </c>
      <c r="N218" s="116"/>
      <c r="P218" s="116"/>
      <c r="Q218" s="116"/>
    </row>
    <row r="219" spans="1:17" s="106" customFormat="1" x14ac:dyDescent="0.25">
      <c r="A219" s="200" t="s">
        <v>488</v>
      </c>
      <c r="B219" s="148" t="s">
        <v>30</v>
      </c>
      <c r="C219" s="4" t="s">
        <v>7</v>
      </c>
      <c r="D219" s="568" t="s">
        <v>476</v>
      </c>
      <c r="E219" s="221"/>
      <c r="F219" s="123">
        <f t="shared" si="52"/>
        <v>4299.3</v>
      </c>
      <c r="G219" s="227">
        <f t="shared" si="52"/>
        <v>4299.3</v>
      </c>
      <c r="H219" s="123">
        <f t="shared" si="52"/>
        <v>4299.3</v>
      </c>
      <c r="I219" s="227">
        <f t="shared" si="52"/>
        <v>4299.3</v>
      </c>
      <c r="J219" s="313">
        <f t="shared" si="52"/>
        <v>4299.3</v>
      </c>
      <c r="K219" s="511">
        <f t="shared" si="45"/>
        <v>1</v>
      </c>
      <c r="L219" s="227">
        <f t="shared" si="52"/>
        <v>4299.3</v>
      </c>
      <c r="M219" s="511">
        <f t="shared" si="50"/>
        <v>1</v>
      </c>
      <c r="N219" s="116"/>
      <c r="P219" s="116"/>
      <c r="Q219" s="116"/>
    </row>
    <row r="220" spans="1:17" s="106" customFormat="1" ht="31.5" x14ac:dyDescent="0.25">
      <c r="A220" s="199" t="s">
        <v>487</v>
      </c>
      <c r="B220" s="148" t="s">
        <v>30</v>
      </c>
      <c r="C220" s="4" t="s">
        <v>7</v>
      </c>
      <c r="D220" s="568" t="s">
        <v>483</v>
      </c>
      <c r="E220" s="593"/>
      <c r="F220" s="123">
        <f>F221</f>
        <v>4299.3</v>
      </c>
      <c r="G220" s="123">
        <f t="shared" si="52"/>
        <v>4299.3</v>
      </c>
      <c r="H220" s="123">
        <f>H221</f>
        <v>4299.3</v>
      </c>
      <c r="I220" s="123">
        <f t="shared" si="52"/>
        <v>4299.3</v>
      </c>
      <c r="J220" s="313">
        <f t="shared" si="52"/>
        <v>4299.3</v>
      </c>
      <c r="K220" s="511">
        <f t="shared" si="45"/>
        <v>1</v>
      </c>
      <c r="L220" s="227">
        <f t="shared" si="52"/>
        <v>4299.3</v>
      </c>
      <c r="M220" s="511">
        <f t="shared" si="50"/>
        <v>1</v>
      </c>
      <c r="N220" s="116"/>
      <c r="P220" s="116"/>
      <c r="Q220" s="116"/>
    </row>
    <row r="221" spans="1:17" s="106" customFormat="1" ht="47.25" x14ac:dyDescent="0.25">
      <c r="A221" s="268" t="s">
        <v>41</v>
      </c>
      <c r="B221" s="148" t="s">
        <v>30</v>
      </c>
      <c r="C221" s="4" t="s">
        <v>7</v>
      </c>
      <c r="D221" s="568" t="s">
        <v>483</v>
      </c>
      <c r="E221" s="220">
        <v>100</v>
      </c>
      <c r="F221" s="123">
        <f t="shared" si="51"/>
        <v>4299.3</v>
      </c>
      <c r="G221" s="227">
        <f t="shared" si="51"/>
        <v>4299.3</v>
      </c>
      <c r="H221" s="123">
        <f t="shared" si="51"/>
        <v>4299.3</v>
      </c>
      <c r="I221" s="227">
        <f t="shared" si="51"/>
        <v>4299.3</v>
      </c>
      <c r="J221" s="313">
        <f t="shared" si="51"/>
        <v>4299.3</v>
      </c>
      <c r="K221" s="511">
        <f t="shared" si="45"/>
        <v>1</v>
      </c>
      <c r="L221" s="227">
        <f t="shared" si="51"/>
        <v>4299.3</v>
      </c>
      <c r="M221" s="511">
        <f t="shared" si="50"/>
        <v>1</v>
      </c>
      <c r="N221" s="116"/>
      <c r="P221" s="116"/>
      <c r="Q221" s="116"/>
    </row>
    <row r="222" spans="1:17" s="106" customFormat="1" x14ac:dyDescent="0.25">
      <c r="A222" s="268" t="s">
        <v>97</v>
      </c>
      <c r="B222" s="148" t="s">
        <v>30</v>
      </c>
      <c r="C222" s="4" t="s">
        <v>7</v>
      </c>
      <c r="D222" s="568" t="s">
        <v>483</v>
      </c>
      <c r="E222" s="220">
        <v>120</v>
      </c>
      <c r="F222" s="123">
        <f>'ведом. 2024-2026'!AD143</f>
        <v>4299.3</v>
      </c>
      <c r="G222" s="227">
        <f>F222</f>
        <v>4299.3</v>
      </c>
      <c r="H222" s="123">
        <f>'ведом. 2024-2026'!AE143</f>
        <v>4299.3</v>
      </c>
      <c r="I222" s="227">
        <f>H222</f>
        <v>4299.3</v>
      </c>
      <c r="J222" s="313">
        <f>'ведом. 2024-2026'!AF143</f>
        <v>4299.3</v>
      </c>
      <c r="K222" s="511">
        <f t="shared" si="45"/>
        <v>1</v>
      </c>
      <c r="L222" s="227">
        <f>J222</f>
        <v>4299.3</v>
      </c>
      <c r="M222" s="511">
        <f t="shared" si="50"/>
        <v>1</v>
      </c>
      <c r="N222" s="116"/>
      <c r="P222" s="116"/>
      <c r="Q222" s="116"/>
    </row>
    <row r="223" spans="1:17" s="106" customFormat="1" x14ac:dyDescent="0.25">
      <c r="A223" s="268" t="s">
        <v>46</v>
      </c>
      <c r="B223" s="148" t="s">
        <v>30</v>
      </c>
      <c r="C223" s="4" t="s">
        <v>48</v>
      </c>
      <c r="D223" s="458"/>
      <c r="E223" s="220"/>
      <c r="F223" s="123">
        <f t="shared" ref="F223:J228" si="53">F224</f>
        <v>485</v>
      </c>
      <c r="G223" s="227"/>
      <c r="H223" s="123">
        <f t="shared" si="53"/>
        <v>485</v>
      </c>
      <c r="I223" s="227"/>
      <c r="J223" s="313">
        <f t="shared" si="53"/>
        <v>485</v>
      </c>
      <c r="K223" s="511">
        <f t="shared" si="45"/>
        <v>1</v>
      </c>
      <c r="L223" s="227"/>
      <c r="M223" s="511"/>
      <c r="N223" s="116"/>
      <c r="P223" s="116"/>
      <c r="Q223" s="116"/>
    </row>
    <row r="224" spans="1:17" s="106" customFormat="1" x14ac:dyDescent="0.25">
      <c r="A224" s="199" t="s">
        <v>187</v>
      </c>
      <c r="B224" s="148" t="s">
        <v>30</v>
      </c>
      <c r="C224" s="4" t="s">
        <v>48</v>
      </c>
      <c r="D224" s="568" t="s">
        <v>113</v>
      </c>
      <c r="E224" s="220"/>
      <c r="F224" s="123">
        <f t="shared" si="53"/>
        <v>485</v>
      </c>
      <c r="G224" s="227"/>
      <c r="H224" s="123">
        <f t="shared" si="53"/>
        <v>485</v>
      </c>
      <c r="I224" s="227"/>
      <c r="J224" s="313">
        <f t="shared" si="53"/>
        <v>485</v>
      </c>
      <c r="K224" s="511">
        <f t="shared" si="45"/>
        <v>1</v>
      </c>
      <c r="L224" s="227"/>
      <c r="M224" s="511"/>
      <c r="N224" s="116"/>
      <c r="P224" s="116"/>
      <c r="Q224" s="116"/>
    </row>
    <row r="225" spans="1:17" s="106" customFormat="1" x14ac:dyDescent="0.25">
      <c r="A225" s="199" t="s">
        <v>191</v>
      </c>
      <c r="B225" s="148" t="s">
        <v>30</v>
      </c>
      <c r="C225" s="4" t="s">
        <v>48</v>
      </c>
      <c r="D225" s="568" t="s">
        <v>192</v>
      </c>
      <c r="E225" s="220"/>
      <c r="F225" s="123">
        <f t="shared" si="53"/>
        <v>485</v>
      </c>
      <c r="G225" s="227"/>
      <c r="H225" s="123">
        <f t="shared" si="53"/>
        <v>485</v>
      </c>
      <c r="I225" s="227"/>
      <c r="J225" s="313">
        <f t="shared" si="53"/>
        <v>485</v>
      </c>
      <c r="K225" s="511">
        <f t="shared" si="45"/>
        <v>1</v>
      </c>
      <c r="L225" s="227"/>
      <c r="M225" s="511"/>
      <c r="N225" s="116"/>
      <c r="P225" s="116"/>
      <c r="Q225" s="116"/>
    </row>
    <row r="226" spans="1:17" s="106" customFormat="1" ht="31.5" x14ac:dyDescent="0.25">
      <c r="A226" s="199" t="s">
        <v>193</v>
      </c>
      <c r="B226" s="148" t="s">
        <v>30</v>
      </c>
      <c r="C226" s="4" t="s">
        <v>48</v>
      </c>
      <c r="D226" s="568" t="s">
        <v>194</v>
      </c>
      <c r="E226" s="220"/>
      <c r="F226" s="123">
        <f t="shared" si="53"/>
        <v>485</v>
      </c>
      <c r="G226" s="227"/>
      <c r="H226" s="123">
        <f t="shared" si="53"/>
        <v>485</v>
      </c>
      <c r="I226" s="227"/>
      <c r="J226" s="313">
        <f t="shared" si="53"/>
        <v>485</v>
      </c>
      <c r="K226" s="511">
        <f t="shared" si="45"/>
        <v>1</v>
      </c>
      <c r="L226" s="227"/>
      <c r="M226" s="511"/>
      <c r="N226" s="116"/>
      <c r="P226" s="116"/>
      <c r="Q226" s="116"/>
    </row>
    <row r="227" spans="1:17" s="106" customFormat="1" x14ac:dyDescent="0.25">
      <c r="A227" s="200" t="s">
        <v>223</v>
      </c>
      <c r="B227" s="148" t="s">
        <v>30</v>
      </c>
      <c r="C227" s="4" t="s">
        <v>48</v>
      </c>
      <c r="D227" s="541" t="s">
        <v>224</v>
      </c>
      <c r="E227" s="592"/>
      <c r="F227" s="123">
        <f t="shared" si="53"/>
        <v>485</v>
      </c>
      <c r="G227" s="227"/>
      <c r="H227" s="123">
        <f t="shared" si="53"/>
        <v>485</v>
      </c>
      <c r="I227" s="227"/>
      <c r="J227" s="313">
        <f t="shared" si="53"/>
        <v>485</v>
      </c>
      <c r="K227" s="511">
        <f t="shared" si="45"/>
        <v>1</v>
      </c>
      <c r="L227" s="227"/>
      <c r="M227" s="511"/>
      <c r="N227" s="116"/>
      <c r="P227" s="116"/>
      <c r="Q227" s="116"/>
    </row>
    <row r="228" spans="1:17" s="106" customFormat="1" x14ac:dyDescent="0.25">
      <c r="A228" s="268" t="s">
        <v>121</v>
      </c>
      <c r="B228" s="148" t="s">
        <v>30</v>
      </c>
      <c r="C228" s="4" t="s">
        <v>48</v>
      </c>
      <c r="D228" s="541" t="s">
        <v>224</v>
      </c>
      <c r="E228" s="222">
        <v>200</v>
      </c>
      <c r="F228" s="123">
        <f t="shared" si="53"/>
        <v>485</v>
      </c>
      <c r="G228" s="227"/>
      <c r="H228" s="123">
        <f t="shared" si="53"/>
        <v>485</v>
      </c>
      <c r="I228" s="227"/>
      <c r="J228" s="313">
        <f t="shared" si="53"/>
        <v>485</v>
      </c>
      <c r="K228" s="511">
        <f t="shared" si="45"/>
        <v>1</v>
      </c>
      <c r="L228" s="227"/>
      <c r="M228" s="511"/>
      <c r="N228" s="116"/>
      <c r="P228" s="116"/>
      <c r="Q228" s="116"/>
    </row>
    <row r="229" spans="1:17" s="106" customFormat="1" ht="31.5" x14ac:dyDescent="0.25">
      <c r="A229" s="268" t="s">
        <v>52</v>
      </c>
      <c r="B229" s="148" t="s">
        <v>30</v>
      </c>
      <c r="C229" s="4" t="s">
        <v>48</v>
      </c>
      <c r="D229" s="541" t="s">
        <v>224</v>
      </c>
      <c r="E229" s="222">
        <v>240</v>
      </c>
      <c r="F229" s="123">
        <f>'ведом. 2024-2026'!AD150</f>
        <v>485</v>
      </c>
      <c r="G229" s="227"/>
      <c r="H229" s="123">
        <f>'ведом. 2024-2026'!AE150</f>
        <v>485</v>
      </c>
      <c r="I229" s="227"/>
      <c r="J229" s="313">
        <f>'ведом. 2024-2026'!AF150</f>
        <v>485</v>
      </c>
      <c r="K229" s="511">
        <f t="shared" si="45"/>
        <v>1</v>
      </c>
      <c r="L229" s="227"/>
      <c r="M229" s="511"/>
      <c r="N229" s="116"/>
      <c r="P229" s="116"/>
      <c r="Q229" s="116"/>
    </row>
    <row r="230" spans="1:17" s="106" customFormat="1" x14ac:dyDescent="0.25">
      <c r="A230" s="277" t="s">
        <v>45</v>
      </c>
      <c r="B230" s="150" t="s">
        <v>7</v>
      </c>
      <c r="C230" s="145"/>
      <c r="D230" s="534"/>
      <c r="E230" s="592"/>
      <c r="F230" s="125">
        <f>F231+F242+F272</f>
        <v>45977.1</v>
      </c>
      <c r="G230" s="242"/>
      <c r="H230" s="125">
        <f>H231+H242+H272</f>
        <v>45976.899999999994</v>
      </c>
      <c r="I230" s="242"/>
      <c r="J230" s="502">
        <f>J231+J242+J272</f>
        <v>43949.4</v>
      </c>
      <c r="K230" s="512">
        <f t="shared" si="45"/>
        <v>0.95590176806178773</v>
      </c>
      <c r="L230" s="242"/>
      <c r="M230" s="511"/>
      <c r="N230" s="116"/>
      <c r="P230" s="116"/>
      <c r="Q230" s="116"/>
    </row>
    <row r="231" spans="1:17" s="106" customFormat="1" x14ac:dyDescent="0.25">
      <c r="A231" s="197" t="s">
        <v>384</v>
      </c>
      <c r="B231" s="148" t="s">
        <v>7</v>
      </c>
      <c r="C231" s="4" t="s">
        <v>22</v>
      </c>
      <c r="D231" s="458"/>
      <c r="E231" s="221"/>
      <c r="F231" s="123">
        <f>F232</f>
        <v>1437.5</v>
      </c>
      <c r="G231" s="227"/>
      <c r="H231" s="123">
        <f>H232</f>
        <v>1437.4</v>
      </c>
      <c r="I231" s="227"/>
      <c r="J231" s="313">
        <f>J232</f>
        <v>1424</v>
      </c>
      <c r="K231" s="511">
        <f t="shared" si="45"/>
        <v>0.99067761235564211</v>
      </c>
      <c r="L231" s="227"/>
      <c r="M231" s="511"/>
      <c r="N231" s="116"/>
      <c r="P231" s="116"/>
      <c r="Q231" s="116"/>
    </row>
    <row r="232" spans="1:17" s="106" customFormat="1" ht="31.5" x14ac:dyDescent="0.25">
      <c r="A232" s="202" t="s">
        <v>163</v>
      </c>
      <c r="B232" s="148" t="s">
        <v>7</v>
      </c>
      <c r="C232" s="4" t="s">
        <v>22</v>
      </c>
      <c r="D232" s="458" t="s">
        <v>103</v>
      </c>
      <c r="E232" s="221"/>
      <c r="F232" s="123">
        <f>F233</f>
        <v>1437.5</v>
      </c>
      <c r="G232" s="227"/>
      <c r="H232" s="123">
        <f>H233</f>
        <v>1437.4</v>
      </c>
      <c r="I232" s="227"/>
      <c r="J232" s="313">
        <f>J233</f>
        <v>1424</v>
      </c>
      <c r="K232" s="511">
        <f t="shared" si="45"/>
        <v>0.99067761235564211</v>
      </c>
      <c r="L232" s="227"/>
      <c r="M232" s="511"/>
      <c r="N232" s="116"/>
      <c r="P232" s="116"/>
      <c r="Q232" s="116"/>
    </row>
    <row r="233" spans="1:17" s="106" customFormat="1" ht="31.5" x14ac:dyDescent="0.25">
      <c r="A233" s="202" t="s">
        <v>625</v>
      </c>
      <c r="B233" s="148" t="s">
        <v>7</v>
      </c>
      <c r="C233" s="4" t="s">
        <v>22</v>
      </c>
      <c r="D233" s="568" t="s">
        <v>104</v>
      </c>
      <c r="E233" s="221"/>
      <c r="F233" s="123">
        <f>F234+F238</f>
        <v>1437.5</v>
      </c>
      <c r="G233" s="227"/>
      <c r="H233" s="123">
        <f>H234+H238</f>
        <v>1437.4</v>
      </c>
      <c r="I233" s="227"/>
      <c r="J233" s="313">
        <f>J234+J238</f>
        <v>1424</v>
      </c>
      <c r="K233" s="511">
        <f t="shared" si="45"/>
        <v>0.99067761235564211</v>
      </c>
      <c r="L233" s="227"/>
      <c r="M233" s="511"/>
      <c r="N233" s="116"/>
      <c r="P233" s="116"/>
      <c r="Q233" s="116"/>
    </row>
    <row r="234" spans="1:17" s="106" customFormat="1" ht="78.75" x14ac:dyDescent="0.25">
      <c r="A234" s="218" t="s">
        <v>628</v>
      </c>
      <c r="B234" s="148" t="s">
        <v>7</v>
      </c>
      <c r="C234" s="4" t="s">
        <v>22</v>
      </c>
      <c r="D234" s="568" t="s">
        <v>124</v>
      </c>
      <c r="E234" s="221"/>
      <c r="F234" s="123">
        <f t="shared" ref="F234:J235" si="54">F235</f>
        <v>408.59999999999991</v>
      </c>
      <c r="G234" s="227"/>
      <c r="H234" s="123">
        <f t="shared" si="54"/>
        <v>408.49999999999989</v>
      </c>
      <c r="I234" s="227"/>
      <c r="J234" s="313">
        <f t="shared" si="54"/>
        <v>395.1</v>
      </c>
      <c r="K234" s="511">
        <f t="shared" si="45"/>
        <v>0.9671970624235009</v>
      </c>
      <c r="L234" s="227"/>
      <c r="M234" s="511"/>
      <c r="N234" s="116"/>
      <c r="P234" s="116"/>
      <c r="Q234" s="116"/>
    </row>
    <row r="235" spans="1:17" s="106" customFormat="1" ht="31.5" x14ac:dyDescent="0.25">
      <c r="A235" s="201" t="s">
        <v>175</v>
      </c>
      <c r="B235" s="148" t="s">
        <v>7</v>
      </c>
      <c r="C235" s="4" t="s">
        <v>22</v>
      </c>
      <c r="D235" s="568" t="s">
        <v>176</v>
      </c>
      <c r="E235" s="221"/>
      <c r="F235" s="123">
        <f>F236</f>
        <v>408.59999999999991</v>
      </c>
      <c r="G235" s="227"/>
      <c r="H235" s="123">
        <f>H236</f>
        <v>408.49999999999989</v>
      </c>
      <c r="I235" s="227"/>
      <c r="J235" s="313">
        <f t="shared" si="54"/>
        <v>395.1</v>
      </c>
      <c r="K235" s="511">
        <f t="shared" si="45"/>
        <v>0.9671970624235009</v>
      </c>
      <c r="L235" s="227"/>
      <c r="M235" s="511"/>
      <c r="N235" s="116"/>
      <c r="P235" s="116"/>
      <c r="Q235" s="116"/>
    </row>
    <row r="236" spans="1:17" s="106" customFormat="1" x14ac:dyDescent="0.25">
      <c r="A236" s="197" t="s">
        <v>121</v>
      </c>
      <c r="B236" s="148" t="s">
        <v>7</v>
      </c>
      <c r="C236" s="4" t="s">
        <v>22</v>
      </c>
      <c r="D236" s="568" t="s">
        <v>176</v>
      </c>
      <c r="E236" s="221">
        <v>200</v>
      </c>
      <c r="F236" s="123">
        <f>F237</f>
        <v>408.59999999999991</v>
      </c>
      <c r="G236" s="227"/>
      <c r="H236" s="123">
        <f>H237</f>
        <v>408.49999999999989</v>
      </c>
      <c r="I236" s="227"/>
      <c r="J236" s="313">
        <f>J237</f>
        <v>395.1</v>
      </c>
      <c r="K236" s="511">
        <f t="shared" si="45"/>
        <v>0.9671970624235009</v>
      </c>
      <c r="L236" s="227"/>
      <c r="M236" s="511"/>
      <c r="N236" s="116"/>
      <c r="P236" s="116"/>
      <c r="Q236" s="116"/>
    </row>
    <row r="237" spans="1:17" s="106" customFormat="1" ht="31.5" x14ac:dyDescent="0.25">
      <c r="A237" s="197" t="s">
        <v>52</v>
      </c>
      <c r="B237" s="148" t="s">
        <v>7</v>
      </c>
      <c r="C237" s="4" t="s">
        <v>22</v>
      </c>
      <c r="D237" s="568" t="s">
        <v>176</v>
      </c>
      <c r="E237" s="221">
        <v>240</v>
      </c>
      <c r="F237" s="123">
        <f>'ведом. 2024-2026'!AD158</f>
        <v>408.59999999999991</v>
      </c>
      <c r="G237" s="227"/>
      <c r="H237" s="123">
        <f>'ведом. 2024-2026'!AE158</f>
        <v>408.49999999999989</v>
      </c>
      <c r="I237" s="227"/>
      <c r="J237" s="313">
        <f>'ведом. 2024-2026'!AF158</f>
        <v>395.1</v>
      </c>
      <c r="K237" s="511">
        <f t="shared" si="45"/>
        <v>0.9671970624235009</v>
      </c>
      <c r="L237" s="227"/>
      <c r="M237" s="511"/>
      <c r="N237" s="116"/>
      <c r="P237" s="116"/>
      <c r="Q237" s="116"/>
    </row>
    <row r="238" spans="1:17" s="106" customFormat="1" ht="47.25" x14ac:dyDescent="0.25">
      <c r="A238" s="201" t="s">
        <v>604</v>
      </c>
      <c r="B238" s="148" t="s">
        <v>7</v>
      </c>
      <c r="C238" s="4" t="s">
        <v>22</v>
      </c>
      <c r="D238" s="568" t="s">
        <v>603</v>
      </c>
      <c r="E238" s="223"/>
      <c r="F238" s="123">
        <f>F239</f>
        <v>1028.9000000000001</v>
      </c>
      <c r="G238" s="227"/>
      <c r="H238" s="123">
        <f>H239</f>
        <v>1028.9000000000001</v>
      </c>
      <c r="I238" s="227"/>
      <c r="J238" s="313">
        <f>J239</f>
        <v>1028.9000000000001</v>
      </c>
      <c r="K238" s="511">
        <f t="shared" si="45"/>
        <v>1</v>
      </c>
      <c r="L238" s="227"/>
      <c r="M238" s="511"/>
      <c r="N238" s="116"/>
      <c r="P238" s="116"/>
      <c r="Q238" s="116"/>
    </row>
    <row r="239" spans="1:17" s="106" customFormat="1" ht="31.5" x14ac:dyDescent="0.25">
      <c r="A239" s="201" t="s">
        <v>605</v>
      </c>
      <c r="B239" s="148" t="s">
        <v>7</v>
      </c>
      <c r="C239" s="4" t="s">
        <v>22</v>
      </c>
      <c r="D239" s="568" t="s">
        <v>606</v>
      </c>
      <c r="E239" s="223"/>
      <c r="F239" s="123">
        <f>F240</f>
        <v>1028.9000000000001</v>
      </c>
      <c r="G239" s="227"/>
      <c r="H239" s="123">
        <f>H240</f>
        <v>1028.9000000000001</v>
      </c>
      <c r="I239" s="227"/>
      <c r="J239" s="313">
        <f>J240</f>
        <v>1028.9000000000001</v>
      </c>
      <c r="K239" s="511">
        <f t="shared" si="45"/>
        <v>1</v>
      </c>
      <c r="L239" s="227"/>
      <c r="M239" s="511"/>
      <c r="N239" s="116"/>
      <c r="P239" s="116"/>
      <c r="Q239" s="116"/>
    </row>
    <row r="240" spans="1:17" s="106" customFormat="1" x14ac:dyDescent="0.25">
      <c r="A240" s="197" t="s">
        <v>121</v>
      </c>
      <c r="B240" s="148" t="s">
        <v>7</v>
      </c>
      <c r="C240" s="4" t="s">
        <v>22</v>
      </c>
      <c r="D240" s="568" t="s">
        <v>606</v>
      </c>
      <c r="E240" s="223" t="s">
        <v>37</v>
      </c>
      <c r="F240" s="123">
        <f>F241</f>
        <v>1028.9000000000001</v>
      </c>
      <c r="G240" s="227"/>
      <c r="H240" s="123">
        <f>H241</f>
        <v>1028.9000000000001</v>
      </c>
      <c r="I240" s="227"/>
      <c r="J240" s="313">
        <f>J241</f>
        <v>1028.9000000000001</v>
      </c>
      <c r="K240" s="511">
        <f t="shared" si="45"/>
        <v>1</v>
      </c>
      <c r="L240" s="227"/>
      <c r="M240" s="511"/>
      <c r="N240" s="116"/>
      <c r="P240" s="116"/>
      <c r="Q240" s="116"/>
    </row>
    <row r="241" spans="1:17" s="106" customFormat="1" ht="31.5" x14ac:dyDescent="0.25">
      <c r="A241" s="197" t="s">
        <v>52</v>
      </c>
      <c r="B241" s="148" t="s">
        <v>7</v>
      </c>
      <c r="C241" s="4" t="s">
        <v>22</v>
      </c>
      <c r="D241" s="568" t="s">
        <v>606</v>
      </c>
      <c r="E241" s="223" t="s">
        <v>66</v>
      </c>
      <c r="F241" s="123">
        <f>'ведом. 2024-2026'!AD162</f>
        <v>1028.9000000000001</v>
      </c>
      <c r="G241" s="227"/>
      <c r="H241" s="123">
        <f>'ведом. 2024-2026'!AE162</f>
        <v>1028.9000000000001</v>
      </c>
      <c r="I241" s="227"/>
      <c r="J241" s="313">
        <f>'ведом. 2024-2026'!AF162</f>
        <v>1028.9000000000001</v>
      </c>
      <c r="K241" s="511">
        <f t="shared" si="45"/>
        <v>1</v>
      </c>
      <c r="L241" s="227"/>
      <c r="M241" s="511"/>
      <c r="N241" s="116"/>
      <c r="P241" s="116"/>
      <c r="Q241" s="116"/>
    </row>
    <row r="242" spans="1:17" s="106" customFormat="1" ht="31.5" x14ac:dyDescent="0.25">
      <c r="A242" s="197" t="s">
        <v>385</v>
      </c>
      <c r="B242" s="148" t="s">
        <v>7</v>
      </c>
      <c r="C242" s="4" t="s">
        <v>36</v>
      </c>
      <c r="D242" s="458"/>
      <c r="E242" s="221"/>
      <c r="F242" s="123">
        <f>F243</f>
        <v>28737.599999999999</v>
      </c>
      <c r="G242" s="123"/>
      <c r="H242" s="123">
        <f>H243</f>
        <v>28737.499999999996</v>
      </c>
      <c r="I242" s="123"/>
      <c r="J242" s="313">
        <f>J243</f>
        <v>28580</v>
      </c>
      <c r="K242" s="511">
        <f t="shared" si="45"/>
        <v>0.9945193562418444</v>
      </c>
      <c r="L242" s="227"/>
      <c r="M242" s="511"/>
      <c r="N242" s="116"/>
      <c r="P242" s="116"/>
      <c r="Q242" s="116"/>
    </row>
    <row r="243" spans="1:17" s="106" customFormat="1" ht="31.5" x14ac:dyDescent="0.25">
      <c r="A243" s="202" t="s">
        <v>163</v>
      </c>
      <c r="B243" s="148" t="s">
        <v>7</v>
      </c>
      <c r="C243" s="4" t="s">
        <v>36</v>
      </c>
      <c r="D243" s="458" t="s">
        <v>103</v>
      </c>
      <c r="E243" s="221"/>
      <c r="F243" s="123">
        <f>F244+F253+F265+F260</f>
        <v>28737.599999999999</v>
      </c>
      <c r="G243" s="123"/>
      <c r="H243" s="123">
        <f>H244+H253+H265+H260</f>
        <v>28737.499999999996</v>
      </c>
      <c r="I243" s="123"/>
      <c r="J243" s="313">
        <f>J244+J253+J265+J260</f>
        <v>28580</v>
      </c>
      <c r="K243" s="511">
        <f t="shared" si="45"/>
        <v>0.9945193562418444</v>
      </c>
      <c r="L243" s="227"/>
      <c r="M243" s="511"/>
      <c r="N243" s="116"/>
      <c r="P243" s="116"/>
      <c r="Q243" s="116"/>
    </row>
    <row r="244" spans="1:17" s="106" customFormat="1" ht="31.9" customHeight="1" x14ac:dyDescent="0.25">
      <c r="A244" s="202" t="s">
        <v>641</v>
      </c>
      <c r="B244" s="148" t="s">
        <v>7</v>
      </c>
      <c r="C244" s="4" t="s">
        <v>36</v>
      </c>
      <c r="D244" s="568" t="s">
        <v>108</v>
      </c>
      <c r="E244" s="223"/>
      <c r="F244" s="123">
        <f>F245+F249</f>
        <v>69.5</v>
      </c>
      <c r="G244" s="123"/>
      <c r="H244" s="123">
        <f>H245+H249</f>
        <v>69.400000000000006</v>
      </c>
      <c r="I244" s="123"/>
      <c r="J244" s="313">
        <f>J245+J249</f>
        <v>69.400000000000006</v>
      </c>
      <c r="K244" s="511">
        <f t="shared" si="45"/>
        <v>1</v>
      </c>
      <c r="L244" s="227"/>
      <c r="M244" s="511"/>
      <c r="N244" s="116"/>
      <c r="P244" s="116"/>
      <c r="Q244" s="116"/>
    </row>
    <row r="245" spans="1:17" s="106" customFormat="1" ht="31.5" x14ac:dyDescent="0.25">
      <c r="A245" s="201" t="s">
        <v>599</v>
      </c>
      <c r="B245" s="148" t="s">
        <v>7</v>
      </c>
      <c r="C245" s="4" t="s">
        <v>36</v>
      </c>
      <c r="D245" s="568" t="s">
        <v>171</v>
      </c>
      <c r="E245" s="118"/>
      <c r="F245" s="123">
        <f>F246</f>
        <v>37.5</v>
      </c>
      <c r="G245" s="227"/>
      <c r="H245" s="123">
        <f>H246</f>
        <v>37.4</v>
      </c>
      <c r="I245" s="227"/>
      <c r="J245" s="313">
        <f>J246</f>
        <v>37.4</v>
      </c>
      <c r="K245" s="511">
        <f t="shared" si="45"/>
        <v>1</v>
      </c>
      <c r="L245" s="227"/>
      <c r="M245" s="511"/>
      <c r="N245" s="116"/>
      <c r="P245" s="116"/>
      <c r="Q245" s="116"/>
    </row>
    <row r="246" spans="1:17" s="106" customFormat="1" ht="31.5" x14ac:dyDescent="0.25">
      <c r="A246" s="202" t="s">
        <v>170</v>
      </c>
      <c r="B246" s="148" t="s">
        <v>7</v>
      </c>
      <c r="C246" s="4" t="s">
        <v>36</v>
      </c>
      <c r="D246" s="568" t="s">
        <v>598</v>
      </c>
      <c r="E246" s="223"/>
      <c r="F246" s="123">
        <f>F247</f>
        <v>37.5</v>
      </c>
      <c r="G246" s="227"/>
      <c r="H246" s="123">
        <f>H247</f>
        <v>37.4</v>
      </c>
      <c r="I246" s="227"/>
      <c r="J246" s="313">
        <f>J247</f>
        <v>37.4</v>
      </c>
      <c r="K246" s="511">
        <f t="shared" si="45"/>
        <v>1</v>
      </c>
      <c r="L246" s="227"/>
      <c r="M246" s="511"/>
      <c r="N246" s="116"/>
      <c r="P246" s="116"/>
      <c r="Q246" s="116"/>
    </row>
    <row r="247" spans="1:17" s="106" customFormat="1" x14ac:dyDescent="0.25">
      <c r="A247" s="268" t="s">
        <v>121</v>
      </c>
      <c r="B247" s="148" t="s">
        <v>7</v>
      </c>
      <c r="C247" s="4" t="s">
        <v>36</v>
      </c>
      <c r="D247" s="568" t="s">
        <v>598</v>
      </c>
      <c r="E247" s="594" t="s">
        <v>37</v>
      </c>
      <c r="F247" s="123">
        <f>F248</f>
        <v>37.5</v>
      </c>
      <c r="G247" s="227"/>
      <c r="H247" s="123">
        <f>H248</f>
        <v>37.4</v>
      </c>
      <c r="I247" s="227"/>
      <c r="J247" s="313">
        <f>J248</f>
        <v>37.4</v>
      </c>
      <c r="K247" s="511">
        <f t="shared" si="45"/>
        <v>1</v>
      </c>
      <c r="L247" s="227"/>
      <c r="M247" s="511"/>
      <c r="N247" s="116"/>
      <c r="P247" s="116"/>
      <c r="Q247" s="116"/>
    </row>
    <row r="248" spans="1:17" s="106" customFormat="1" ht="31.5" x14ac:dyDescent="0.25">
      <c r="A248" s="268" t="s">
        <v>52</v>
      </c>
      <c r="B248" s="148" t="s">
        <v>7</v>
      </c>
      <c r="C248" s="4" t="s">
        <v>36</v>
      </c>
      <c r="D248" s="568" t="s">
        <v>598</v>
      </c>
      <c r="E248" s="594" t="s">
        <v>66</v>
      </c>
      <c r="F248" s="123">
        <f>'ведом. 2024-2026'!AD169</f>
        <v>37.5</v>
      </c>
      <c r="G248" s="227"/>
      <c r="H248" s="123">
        <f>'ведом. 2024-2026'!AE169</f>
        <v>37.4</v>
      </c>
      <c r="I248" s="227"/>
      <c r="J248" s="313">
        <f xml:space="preserve"> 'ведом. 2024-2026'!AF169</f>
        <v>37.4</v>
      </c>
      <c r="K248" s="511">
        <f t="shared" si="45"/>
        <v>1</v>
      </c>
      <c r="L248" s="227"/>
      <c r="M248" s="511"/>
      <c r="N248" s="116"/>
      <c r="P248" s="116"/>
      <c r="Q248" s="116"/>
    </row>
    <row r="249" spans="1:17" s="106" customFormat="1" ht="47.25" x14ac:dyDescent="0.25">
      <c r="A249" s="197" t="s">
        <v>600</v>
      </c>
      <c r="B249" s="148" t="s">
        <v>7</v>
      </c>
      <c r="C249" s="4" t="s">
        <v>36</v>
      </c>
      <c r="D249" s="568" t="s">
        <v>601</v>
      </c>
      <c r="E249" s="223"/>
      <c r="F249" s="123">
        <f>F250</f>
        <v>32</v>
      </c>
      <c r="G249" s="227"/>
      <c r="H249" s="123">
        <f>H250</f>
        <v>32</v>
      </c>
      <c r="I249" s="227"/>
      <c r="J249" s="313">
        <f>J250</f>
        <v>32</v>
      </c>
      <c r="K249" s="511">
        <f t="shared" si="45"/>
        <v>1</v>
      </c>
      <c r="L249" s="227"/>
      <c r="M249" s="511"/>
      <c r="N249" s="116"/>
      <c r="P249" s="116"/>
      <c r="Q249" s="116"/>
    </row>
    <row r="250" spans="1:17" s="106" customFormat="1" ht="31.5" x14ac:dyDescent="0.25">
      <c r="A250" s="197" t="s">
        <v>170</v>
      </c>
      <c r="B250" s="148" t="s">
        <v>7</v>
      </c>
      <c r="C250" s="4" t="s">
        <v>36</v>
      </c>
      <c r="D250" s="568" t="s">
        <v>602</v>
      </c>
      <c r="E250" s="223"/>
      <c r="F250" s="123">
        <f>F251</f>
        <v>32</v>
      </c>
      <c r="G250" s="227"/>
      <c r="H250" s="123">
        <f>H251</f>
        <v>32</v>
      </c>
      <c r="I250" s="227"/>
      <c r="J250" s="313">
        <f>J251</f>
        <v>32</v>
      </c>
      <c r="K250" s="511">
        <f t="shared" si="45"/>
        <v>1</v>
      </c>
      <c r="L250" s="227"/>
      <c r="M250" s="511"/>
      <c r="N250" s="116"/>
      <c r="P250" s="116"/>
      <c r="Q250" s="116"/>
    </row>
    <row r="251" spans="1:17" s="106" customFormat="1" x14ac:dyDescent="0.25">
      <c r="A251" s="197" t="s">
        <v>121</v>
      </c>
      <c r="B251" s="148" t="s">
        <v>7</v>
      </c>
      <c r="C251" s="4" t="s">
        <v>36</v>
      </c>
      <c r="D251" s="568" t="s">
        <v>602</v>
      </c>
      <c r="E251" s="223" t="s">
        <v>37</v>
      </c>
      <c r="F251" s="123">
        <f>F252</f>
        <v>32</v>
      </c>
      <c r="G251" s="227"/>
      <c r="H251" s="123">
        <f>H252</f>
        <v>32</v>
      </c>
      <c r="I251" s="227"/>
      <c r="J251" s="313">
        <f>J252</f>
        <v>32</v>
      </c>
      <c r="K251" s="511">
        <f t="shared" si="45"/>
        <v>1</v>
      </c>
      <c r="L251" s="227"/>
      <c r="M251" s="511"/>
      <c r="N251" s="116"/>
      <c r="P251" s="116"/>
      <c r="Q251" s="116"/>
    </row>
    <row r="252" spans="1:17" s="106" customFormat="1" ht="31.5" x14ac:dyDescent="0.25">
      <c r="A252" s="197" t="s">
        <v>52</v>
      </c>
      <c r="B252" s="148" t="s">
        <v>7</v>
      </c>
      <c r="C252" s="4" t="s">
        <v>36</v>
      </c>
      <c r="D252" s="568" t="s">
        <v>602</v>
      </c>
      <c r="E252" s="223" t="s">
        <v>66</v>
      </c>
      <c r="F252" s="123">
        <f>'ведом. 2024-2026'!AD173</f>
        <v>32</v>
      </c>
      <c r="G252" s="227"/>
      <c r="H252" s="123">
        <f>'ведом. 2024-2026'!AD173</f>
        <v>32</v>
      </c>
      <c r="I252" s="227"/>
      <c r="J252" s="313">
        <f>'ведом. 2024-2026'!AF173</f>
        <v>32</v>
      </c>
      <c r="K252" s="511">
        <f t="shared" si="45"/>
        <v>1</v>
      </c>
      <c r="L252" s="227"/>
      <c r="M252" s="511"/>
      <c r="N252" s="116"/>
      <c r="P252" s="116"/>
      <c r="Q252" s="116"/>
    </row>
    <row r="253" spans="1:17" s="106" customFormat="1" ht="31.5" x14ac:dyDescent="0.25">
      <c r="A253" s="202" t="s">
        <v>375</v>
      </c>
      <c r="B253" s="148" t="s">
        <v>7</v>
      </c>
      <c r="C253" s="4" t="s">
        <v>36</v>
      </c>
      <c r="D253" s="568" t="s">
        <v>105</v>
      </c>
      <c r="E253" s="220"/>
      <c r="F253" s="123">
        <f>F254</f>
        <v>648.9</v>
      </c>
      <c r="G253" s="227"/>
      <c r="H253" s="123">
        <f>H254</f>
        <v>648.9</v>
      </c>
      <c r="I253" s="227"/>
      <c r="J253" s="313">
        <f>J254</f>
        <v>532.70000000000005</v>
      </c>
      <c r="K253" s="511">
        <f t="shared" si="45"/>
        <v>0.82092772384034529</v>
      </c>
      <c r="L253" s="227"/>
      <c r="M253" s="511"/>
      <c r="N253" s="116"/>
      <c r="P253" s="116"/>
      <c r="Q253" s="116"/>
    </row>
    <row r="254" spans="1:17" s="106" customFormat="1" ht="31.5" x14ac:dyDescent="0.25">
      <c r="A254" s="201" t="s">
        <v>607</v>
      </c>
      <c r="B254" s="148" t="s">
        <v>7</v>
      </c>
      <c r="C254" s="4" t="s">
        <v>36</v>
      </c>
      <c r="D254" s="568" t="s">
        <v>125</v>
      </c>
      <c r="E254" s="223"/>
      <c r="F254" s="123">
        <f>F255</f>
        <v>648.9</v>
      </c>
      <c r="G254" s="227"/>
      <c r="H254" s="123">
        <f>H255</f>
        <v>648.9</v>
      </c>
      <c r="I254" s="227"/>
      <c r="J254" s="313">
        <f>J255</f>
        <v>532.70000000000005</v>
      </c>
      <c r="K254" s="511">
        <f t="shared" si="45"/>
        <v>0.82092772384034529</v>
      </c>
      <c r="L254" s="227"/>
      <c r="M254" s="511"/>
      <c r="N254" s="116"/>
      <c r="P254" s="116"/>
      <c r="Q254" s="116"/>
    </row>
    <row r="255" spans="1:17" s="106" customFormat="1" x14ac:dyDescent="0.25">
      <c r="A255" s="197" t="s">
        <v>173</v>
      </c>
      <c r="B255" s="148" t="s">
        <v>7</v>
      </c>
      <c r="C255" s="4" t="s">
        <v>36</v>
      </c>
      <c r="D255" s="568" t="s">
        <v>174</v>
      </c>
      <c r="E255" s="220"/>
      <c r="F255" s="123">
        <f>F256+F258</f>
        <v>648.9</v>
      </c>
      <c r="G255" s="227"/>
      <c r="H255" s="123">
        <f>H256+H258</f>
        <v>648.9</v>
      </c>
      <c r="I255" s="227"/>
      <c r="J255" s="313">
        <f>J256+J258</f>
        <v>532.70000000000005</v>
      </c>
      <c r="K255" s="511">
        <f t="shared" si="45"/>
        <v>0.82092772384034529</v>
      </c>
      <c r="L255" s="227"/>
      <c r="M255" s="511"/>
      <c r="N255" s="116"/>
      <c r="P255" s="116"/>
      <c r="Q255" s="116"/>
    </row>
    <row r="256" spans="1:17" s="106" customFormat="1" x14ac:dyDescent="0.25">
      <c r="A256" s="197" t="s">
        <v>121</v>
      </c>
      <c r="B256" s="148" t="s">
        <v>7</v>
      </c>
      <c r="C256" s="4" t="s">
        <v>36</v>
      </c>
      <c r="D256" s="568" t="s">
        <v>174</v>
      </c>
      <c r="E256" s="223" t="s">
        <v>37</v>
      </c>
      <c r="F256" s="123">
        <f>F257</f>
        <v>279.89999999999998</v>
      </c>
      <c r="G256" s="227"/>
      <c r="H256" s="123">
        <f>H257</f>
        <v>279.89999999999998</v>
      </c>
      <c r="I256" s="227"/>
      <c r="J256" s="313">
        <f>J257</f>
        <v>275.89999999999998</v>
      </c>
      <c r="K256" s="511">
        <f t="shared" si="45"/>
        <v>0.98570918185066092</v>
      </c>
      <c r="L256" s="227"/>
      <c r="M256" s="511"/>
      <c r="N256" s="116"/>
      <c r="P256" s="116"/>
      <c r="Q256" s="116"/>
    </row>
    <row r="257" spans="1:17" s="106" customFormat="1" ht="31.5" x14ac:dyDescent="0.25">
      <c r="A257" s="197" t="s">
        <v>52</v>
      </c>
      <c r="B257" s="148" t="s">
        <v>7</v>
      </c>
      <c r="C257" s="4" t="s">
        <v>36</v>
      </c>
      <c r="D257" s="568" t="s">
        <v>174</v>
      </c>
      <c r="E257" s="223" t="s">
        <v>66</v>
      </c>
      <c r="F257" s="123">
        <f>'ведом. 2024-2026'!AD178</f>
        <v>279.89999999999998</v>
      </c>
      <c r="G257" s="227"/>
      <c r="H257" s="123">
        <f>'ведом. 2024-2026'!AD178</f>
        <v>279.89999999999998</v>
      </c>
      <c r="I257" s="227"/>
      <c r="J257" s="313">
        <f>'ведом. 2024-2026'!AF178</f>
        <v>275.89999999999998</v>
      </c>
      <c r="K257" s="511">
        <f t="shared" si="45"/>
        <v>0.98570918185066092</v>
      </c>
      <c r="L257" s="227"/>
      <c r="M257" s="511"/>
      <c r="N257" s="116"/>
      <c r="P257" s="116"/>
      <c r="Q257" s="116"/>
    </row>
    <row r="258" spans="1:17" s="106" customFormat="1" ht="31.5" x14ac:dyDescent="0.25">
      <c r="A258" s="197" t="s">
        <v>61</v>
      </c>
      <c r="B258" s="148" t="s">
        <v>7</v>
      </c>
      <c r="C258" s="4" t="s">
        <v>36</v>
      </c>
      <c r="D258" s="568" t="s">
        <v>174</v>
      </c>
      <c r="E258" s="223" t="s">
        <v>411</v>
      </c>
      <c r="F258" s="123">
        <f>F259</f>
        <v>369</v>
      </c>
      <c r="G258" s="227"/>
      <c r="H258" s="123">
        <f>H259</f>
        <v>369</v>
      </c>
      <c r="I258" s="227"/>
      <c r="J258" s="313">
        <f>J259</f>
        <v>256.8</v>
      </c>
      <c r="K258" s="511">
        <f t="shared" si="45"/>
        <v>0.69593495934959348</v>
      </c>
      <c r="L258" s="227"/>
      <c r="M258" s="511"/>
      <c r="N258" s="116"/>
      <c r="P258" s="116"/>
      <c r="Q258" s="116"/>
    </row>
    <row r="259" spans="1:17" s="106" customFormat="1" x14ac:dyDescent="0.25">
      <c r="A259" s="197" t="s">
        <v>62</v>
      </c>
      <c r="B259" s="148" t="s">
        <v>7</v>
      </c>
      <c r="C259" s="4" t="s">
        <v>36</v>
      </c>
      <c r="D259" s="568" t="s">
        <v>174</v>
      </c>
      <c r="E259" s="223" t="s">
        <v>412</v>
      </c>
      <c r="F259" s="123">
        <f>'ведом. 2024-2026'!AD180</f>
        <v>369</v>
      </c>
      <c r="G259" s="227"/>
      <c r="H259" s="123">
        <f>'ведом. 2024-2026'!AD180</f>
        <v>369</v>
      </c>
      <c r="I259" s="227"/>
      <c r="J259" s="313">
        <f>'ведом. 2024-2026'!AF180</f>
        <v>256.8</v>
      </c>
      <c r="K259" s="511">
        <f t="shared" si="45"/>
        <v>0.69593495934959348</v>
      </c>
      <c r="L259" s="227"/>
      <c r="M259" s="511"/>
      <c r="N259" s="116"/>
      <c r="P259" s="116"/>
      <c r="Q259" s="116"/>
    </row>
    <row r="260" spans="1:17" s="106" customFormat="1" ht="31.5" x14ac:dyDescent="0.25">
      <c r="A260" s="197" t="s">
        <v>608</v>
      </c>
      <c r="B260" s="148" t="s">
        <v>7</v>
      </c>
      <c r="C260" s="4" t="s">
        <v>36</v>
      </c>
      <c r="D260" s="568" t="s">
        <v>109</v>
      </c>
      <c r="E260" s="223"/>
      <c r="F260" s="123">
        <f>F261</f>
        <v>762.3</v>
      </c>
      <c r="G260" s="227"/>
      <c r="H260" s="123">
        <f>H261</f>
        <v>762.3</v>
      </c>
      <c r="I260" s="227"/>
      <c r="J260" s="313">
        <f>J261</f>
        <v>762.3</v>
      </c>
      <c r="K260" s="511">
        <f t="shared" si="45"/>
        <v>1</v>
      </c>
      <c r="L260" s="227"/>
      <c r="M260" s="511"/>
      <c r="N260" s="116"/>
      <c r="P260" s="116"/>
      <c r="Q260" s="116"/>
    </row>
    <row r="261" spans="1:17" s="106" customFormat="1" ht="31.5" x14ac:dyDescent="0.25">
      <c r="A261" s="197" t="s">
        <v>609</v>
      </c>
      <c r="B261" s="148" t="s">
        <v>7</v>
      </c>
      <c r="C261" s="4" t="s">
        <v>36</v>
      </c>
      <c r="D261" s="568" t="s">
        <v>610</v>
      </c>
      <c r="E261" s="223"/>
      <c r="F261" s="123">
        <f>F262</f>
        <v>762.3</v>
      </c>
      <c r="G261" s="227"/>
      <c r="H261" s="123">
        <f>H262</f>
        <v>762.3</v>
      </c>
      <c r="I261" s="227"/>
      <c r="J261" s="313">
        <f>J262</f>
        <v>762.3</v>
      </c>
      <c r="K261" s="511">
        <f t="shared" si="45"/>
        <v>1</v>
      </c>
      <c r="L261" s="227"/>
      <c r="M261" s="511"/>
      <c r="N261" s="116"/>
      <c r="P261" s="116"/>
      <c r="Q261" s="116"/>
    </row>
    <row r="262" spans="1:17" s="106" customFormat="1" ht="31.5" x14ac:dyDescent="0.25">
      <c r="A262" s="197" t="s">
        <v>172</v>
      </c>
      <c r="B262" s="148" t="s">
        <v>7</v>
      </c>
      <c r="C262" s="4" t="s">
        <v>36</v>
      </c>
      <c r="D262" s="568" t="s">
        <v>611</v>
      </c>
      <c r="E262" s="223"/>
      <c r="F262" s="123">
        <f>F263</f>
        <v>762.3</v>
      </c>
      <c r="G262" s="123"/>
      <c r="H262" s="123">
        <f t="shared" ref="H262:J262" si="55">H263</f>
        <v>762.3</v>
      </c>
      <c r="I262" s="123"/>
      <c r="J262" s="313">
        <f t="shared" si="55"/>
        <v>762.3</v>
      </c>
      <c r="K262" s="511">
        <f t="shared" si="45"/>
        <v>1</v>
      </c>
      <c r="L262" s="227"/>
      <c r="M262" s="511"/>
      <c r="N262" s="116"/>
      <c r="P262" s="116"/>
      <c r="Q262" s="116"/>
    </row>
    <row r="263" spans="1:17" s="106" customFormat="1" ht="31.5" x14ac:dyDescent="0.25">
      <c r="A263" s="197" t="s">
        <v>61</v>
      </c>
      <c r="B263" s="148" t="s">
        <v>7</v>
      </c>
      <c r="C263" s="4" t="s">
        <v>36</v>
      </c>
      <c r="D263" s="568" t="s">
        <v>611</v>
      </c>
      <c r="E263" s="223" t="s">
        <v>411</v>
      </c>
      <c r="F263" s="123">
        <f>F264</f>
        <v>762.3</v>
      </c>
      <c r="G263" s="227"/>
      <c r="H263" s="123">
        <f>H264</f>
        <v>762.3</v>
      </c>
      <c r="I263" s="227"/>
      <c r="J263" s="313">
        <f>J264</f>
        <v>762.3</v>
      </c>
      <c r="K263" s="511">
        <f t="shared" si="45"/>
        <v>1</v>
      </c>
      <c r="L263" s="227"/>
      <c r="M263" s="511"/>
      <c r="N263" s="116"/>
      <c r="P263" s="116"/>
      <c r="Q263" s="116"/>
    </row>
    <row r="264" spans="1:17" s="106" customFormat="1" x14ac:dyDescent="0.25">
      <c r="A264" s="197" t="s">
        <v>62</v>
      </c>
      <c r="B264" s="148" t="s">
        <v>7</v>
      </c>
      <c r="C264" s="4" t="s">
        <v>36</v>
      </c>
      <c r="D264" s="568" t="s">
        <v>611</v>
      </c>
      <c r="E264" s="223" t="s">
        <v>412</v>
      </c>
      <c r="F264" s="123">
        <f>'ведом. 2024-2026'!AD185</f>
        <v>762.3</v>
      </c>
      <c r="G264" s="227"/>
      <c r="H264" s="123">
        <f>'ведом. 2024-2026'!AD185</f>
        <v>762.3</v>
      </c>
      <c r="I264" s="227"/>
      <c r="J264" s="313">
        <f>'ведом. 2024-2026'!AF185</f>
        <v>762.3</v>
      </c>
      <c r="K264" s="511">
        <f t="shared" si="45"/>
        <v>1</v>
      </c>
      <c r="L264" s="227"/>
      <c r="M264" s="511"/>
      <c r="N264" s="116"/>
      <c r="P264" s="116"/>
      <c r="Q264" s="116"/>
    </row>
    <row r="265" spans="1:17" s="106" customFormat="1" x14ac:dyDescent="0.25">
      <c r="A265" s="201" t="s">
        <v>47</v>
      </c>
      <c r="B265" s="148" t="s">
        <v>7</v>
      </c>
      <c r="C265" s="4" t="s">
        <v>36</v>
      </c>
      <c r="D265" s="568" t="s">
        <v>106</v>
      </c>
      <c r="E265" s="223"/>
      <c r="F265" s="123">
        <f>F266</f>
        <v>27256.899999999998</v>
      </c>
      <c r="G265" s="227"/>
      <c r="H265" s="123">
        <f>H266</f>
        <v>27256.899999999998</v>
      </c>
      <c r="I265" s="227"/>
      <c r="J265" s="313">
        <f t="shared" ref="J265:J266" si="56">J266</f>
        <v>27215.600000000002</v>
      </c>
      <c r="K265" s="511">
        <f t="shared" si="45"/>
        <v>0.99848478733825208</v>
      </c>
      <c r="L265" s="227"/>
      <c r="M265" s="511"/>
      <c r="N265" s="116"/>
      <c r="P265" s="116"/>
      <c r="Q265" s="116"/>
    </row>
    <row r="266" spans="1:17" s="106" customFormat="1" ht="31.5" x14ac:dyDescent="0.25">
      <c r="A266" s="201" t="s">
        <v>278</v>
      </c>
      <c r="B266" s="148" t="s">
        <v>7</v>
      </c>
      <c r="C266" s="4" t="s">
        <v>36</v>
      </c>
      <c r="D266" s="568" t="s">
        <v>368</v>
      </c>
      <c r="E266" s="223"/>
      <c r="F266" s="123">
        <f>F267</f>
        <v>27256.899999999998</v>
      </c>
      <c r="G266" s="123"/>
      <c r="H266" s="123">
        <f>H267</f>
        <v>27256.899999999998</v>
      </c>
      <c r="I266" s="123"/>
      <c r="J266" s="313">
        <f t="shared" si="56"/>
        <v>27215.600000000002</v>
      </c>
      <c r="K266" s="511">
        <f t="shared" si="45"/>
        <v>0.99848478733825208</v>
      </c>
      <c r="L266" s="227"/>
      <c r="M266" s="511"/>
      <c r="N266" s="116"/>
      <c r="P266" s="116"/>
      <c r="Q266" s="116"/>
    </row>
    <row r="267" spans="1:17" s="106" customFormat="1" x14ac:dyDescent="0.25">
      <c r="A267" s="201" t="s">
        <v>177</v>
      </c>
      <c r="B267" s="148" t="s">
        <v>7</v>
      </c>
      <c r="C267" s="4" t="s">
        <v>36</v>
      </c>
      <c r="D267" s="568" t="s">
        <v>178</v>
      </c>
      <c r="E267" s="223"/>
      <c r="F267" s="123">
        <f>F268+F270</f>
        <v>27256.899999999998</v>
      </c>
      <c r="G267" s="123"/>
      <c r="H267" s="123">
        <f>H268+H270</f>
        <v>27256.899999999998</v>
      </c>
      <c r="I267" s="123"/>
      <c r="J267" s="313">
        <f>J268+J270</f>
        <v>27215.600000000002</v>
      </c>
      <c r="K267" s="511">
        <f t="shared" si="45"/>
        <v>0.99848478733825208</v>
      </c>
      <c r="L267" s="227"/>
      <c r="M267" s="511"/>
      <c r="N267" s="116"/>
      <c r="P267" s="116"/>
      <c r="Q267" s="116"/>
    </row>
    <row r="268" spans="1:17" s="106" customFormat="1" ht="47.25" x14ac:dyDescent="0.25">
      <c r="A268" s="197" t="s">
        <v>151</v>
      </c>
      <c r="B268" s="148" t="s">
        <v>7</v>
      </c>
      <c r="C268" s="4" t="s">
        <v>36</v>
      </c>
      <c r="D268" s="568" t="s">
        <v>178</v>
      </c>
      <c r="E268" s="223" t="s">
        <v>127</v>
      </c>
      <c r="F268" s="123">
        <f>F269</f>
        <v>25553.199999999997</v>
      </c>
      <c r="G268" s="227"/>
      <c r="H268" s="123">
        <f>H269</f>
        <v>25553.199999999997</v>
      </c>
      <c r="I268" s="227"/>
      <c r="J268" s="313">
        <f>J269</f>
        <v>25553.200000000001</v>
      </c>
      <c r="K268" s="511">
        <f t="shared" ref="K268:K331" si="57">J268/H268</f>
        <v>1.0000000000000002</v>
      </c>
      <c r="L268" s="227"/>
      <c r="M268" s="511"/>
      <c r="N268" s="116"/>
      <c r="P268" s="116"/>
      <c r="Q268" s="116"/>
    </row>
    <row r="269" spans="1:17" s="106" customFormat="1" x14ac:dyDescent="0.25">
      <c r="A269" s="197" t="s">
        <v>69</v>
      </c>
      <c r="B269" s="148" t="s">
        <v>7</v>
      </c>
      <c r="C269" s="4" t="s">
        <v>36</v>
      </c>
      <c r="D269" s="568" t="s">
        <v>178</v>
      </c>
      <c r="E269" s="223" t="s">
        <v>128</v>
      </c>
      <c r="F269" s="123">
        <f>'ведом. 2024-2026'!AD190</f>
        <v>25553.199999999997</v>
      </c>
      <c r="G269" s="227"/>
      <c r="H269" s="123">
        <f>'ведом. 2024-2026'!AD190</f>
        <v>25553.199999999997</v>
      </c>
      <c r="I269" s="227"/>
      <c r="J269" s="313">
        <f>'ведом. 2024-2026'!AF190</f>
        <v>25553.200000000001</v>
      </c>
      <c r="K269" s="511">
        <f t="shared" si="57"/>
        <v>1.0000000000000002</v>
      </c>
      <c r="L269" s="227"/>
      <c r="M269" s="511"/>
      <c r="N269" s="116"/>
      <c r="P269" s="116"/>
      <c r="Q269" s="116"/>
    </row>
    <row r="270" spans="1:17" s="106" customFormat="1" x14ac:dyDescent="0.25">
      <c r="A270" s="197" t="s">
        <v>121</v>
      </c>
      <c r="B270" s="1" t="s">
        <v>7</v>
      </c>
      <c r="C270" s="4" t="s">
        <v>36</v>
      </c>
      <c r="D270" s="211" t="s">
        <v>178</v>
      </c>
      <c r="E270" s="223" t="s">
        <v>37</v>
      </c>
      <c r="F270" s="123">
        <f>F271</f>
        <v>1703.6999999999998</v>
      </c>
      <c r="G270" s="123"/>
      <c r="H270" s="123">
        <f>H271</f>
        <v>1703.6999999999998</v>
      </c>
      <c r="I270" s="123"/>
      <c r="J270" s="313">
        <f>J271</f>
        <v>1662.4</v>
      </c>
      <c r="K270" s="511">
        <f t="shared" si="57"/>
        <v>0.97575864295357184</v>
      </c>
      <c r="L270" s="227"/>
      <c r="M270" s="511"/>
      <c r="N270" s="116"/>
      <c r="P270" s="116"/>
      <c r="Q270" s="116"/>
    </row>
    <row r="271" spans="1:17" s="106" customFormat="1" ht="31.5" x14ac:dyDescent="0.25">
      <c r="A271" s="197" t="s">
        <v>52</v>
      </c>
      <c r="B271" s="1" t="s">
        <v>7</v>
      </c>
      <c r="C271" s="4" t="s">
        <v>36</v>
      </c>
      <c r="D271" s="211" t="s">
        <v>178</v>
      </c>
      <c r="E271" s="223" t="s">
        <v>66</v>
      </c>
      <c r="F271" s="123">
        <f>'ведом. 2024-2026'!AD192</f>
        <v>1703.6999999999998</v>
      </c>
      <c r="G271" s="227"/>
      <c r="H271" s="123">
        <f>'ведом. 2024-2026'!AD192</f>
        <v>1703.6999999999998</v>
      </c>
      <c r="I271" s="227"/>
      <c r="J271" s="313">
        <f>'ведом. 2024-2026'!AF192</f>
        <v>1662.4</v>
      </c>
      <c r="K271" s="511">
        <f t="shared" si="57"/>
        <v>0.97575864295357184</v>
      </c>
      <c r="L271" s="227"/>
      <c r="M271" s="511"/>
      <c r="N271" s="116"/>
      <c r="P271" s="116"/>
      <c r="Q271" s="116"/>
    </row>
    <row r="272" spans="1:17" s="106" customFormat="1" ht="31.5" x14ac:dyDescent="0.25">
      <c r="A272" s="197" t="s">
        <v>152</v>
      </c>
      <c r="B272" s="148" t="s">
        <v>7</v>
      </c>
      <c r="C272" s="4">
        <v>14</v>
      </c>
      <c r="D272" s="458"/>
      <c r="E272" s="223"/>
      <c r="F272" s="123">
        <f>F273</f>
        <v>15802</v>
      </c>
      <c r="G272" s="227"/>
      <c r="H272" s="123">
        <f>H273</f>
        <v>15802</v>
      </c>
      <c r="I272" s="227"/>
      <c r="J272" s="313">
        <f>J273</f>
        <v>13945.4</v>
      </c>
      <c r="K272" s="511">
        <f t="shared" si="57"/>
        <v>0.88250854322237693</v>
      </c>
      <c r="L272" s="227"/>
      <c r="M272" s="511"/>
      <c r="N272" s="116"/>
      <c r="P272" s="116"/>
      <c r="Q272" s="116"/>
    </row>
    <row r="273" spans="1:17" s="106" customFormat="1" ht="31.5" x14ac:dyDescent="0.25">
      <c r="A273" s="202" t="s">
        <v>163</v>
      </c>
      <c r="B273" s="148" t="s">
        <v>7</v>
      </c>
      <c r="C273" s="4">
        <v>14</v>
      </c>
      <c r="D273" s="458" t="s">
        <v>103</v>
      </c>
      <c r="E273" s="223"/>
      <c r="F273" s="123">
        <f>F274</f>
        <v>15802</v>
      </c>
      <c r="G273" s="227"/>
      <c r="H273" s="123">
        <f>H274</f>
        <v>15802</v>
      </c>
      <c r="I273" s="227"/>
      <c r="J273" s="313">
        <f>J274</f>
        <v>13945.4</v>
      </c>
      <c r="K273" s="511">
        <f t="shared" si="57"/>
        <v>0.88250854322237693</v>
      </c>
      <c r="L273" s="227"/>
      <c r="M273" s="511"/>
      <c r="N273" s="116"/>
      <c r="P273" s="116"/>
      <c r="Q273" s="116"/>
    </row>
    <row r="274" spans="1:17" s="106" customFormat="1" x14ac:dyDescent="0.25">
      <c r="A274" s="202" t="s">
        <v>164</v>
      </c>
      <c r="B274" s="148" t="s">
        <v>7</v>
      </c>
      <c r="C274" s="4">
        <v>14</v>
      </c>
      <c r="D274" s="458" t="s">
        <v>107</v>
      </c>
      <c r="E274" s="223"/>
      <c r="F274" s="123">
        <f>F275</f>
        <v>15802</v>
      </c>
      <c r="G274" s="123"/>
      <c r="H274" s="123">
        <f t="shared" ref="H274:J274" si="58">H275</f>
        <v>15802</v>
      </c>
      <c r="I274" s="123"/>
      <c r="J274" s="313">
        <f t="shared" si="58"/>
        <v>13945.4</v>
      </c>
      <c r="K274" s="511">
        <f t="shared" si="57"/>
        <v>0.88250854322237693</v>
      </c>
      <c r="L274" s="227"/>
      <c r="M274" s="511"/>
      <c r="N274" s="116"/>
      <c r="P274" s="116"/>
      <c r="Q274" s="116"/>
    </row>
    <row r="275" spans="1:17" s="106" customFormat="1" ht="31.5" x14ac:dyDescent="0.25">
      <c r="A275" s="201" t="s">
        <v>166</v>
      </c>
      <c r="B275" s="148" t="s">
        <v>7</v>
      </c>
      <c r="C275" s="4" t="s">
        <v>43</v>
      </c>
      <c r="D275" s="568" t="s">
        <v>167</v>
      </c>
      <c r="E275" s="220"/>
      <c r="F275" s="123">
        <f t="shared" ref="F275:J276" si="59">F276</f>
        <v>15802</v>
      </c>
      <c r="G275" s="227"/>
      <c r="H275" s="123">
        <f t="shared" si="59"/>
        <v>15802</v>
      </c>
      <c r="I275" s="227"/>
      <c r="J275" s="313">
        <f t="shared" si="59"/>
        <v>13945.4</v>
      </c>
      <c r="K275" s="511">
        <f t="shared" si="57"/>
        <v>0.88250854322237693</v>
      </c>
      <c r="L275" s="227"/>
      <c r="M275" s="511"/>
      <c r="N275" s="116"/>
      <c r="P275" s="116"/>
      <c r="Q275" s="116"/>
    </row>
    <row r="276" spans="1:17" s="106" customFormat="1" x14ac:dyDescent="0.25">
      <c r="A276" s="202" t="s">
        <v>168</v>
      </c>
      <c r="B276" s="148" t="s">
        <v>7</v>
      </c>
      <c r="C276" s="4" t="s">
        <v>43</v>
      </c>
      <c r="D276" s="568" t="s">
        <v>169</v>
      </c>
      <c r="E276" s="220"/>
      <c r="F276" s="123">
        <f>F277</f>
        <v>15802</v>
      </c>
      <c r="G276" s="227"/>
      <c r="H276" s="123">
        <f>H277</f>
        <v>15802</v>
      </c>
      <c r="I276" s="227"/>
      <c r="J276" s="313">
        <f t="shared" si="59"/>
        <v>13945.4</v>
      </c>
      <c r="K276" s="511">
        <f t="shared" si="57"/>
        <v>0.88250854322237693</v>
      </c>
      <c r="L276" s="227"/>
      <c r="M276" s="511"/>
      <c r="N276" s="116"/>
      <c r="P276" s="116"/>
      <c r="Q276" s="116"/>
    </row>
    <row r="277" spans="1:17" s="106" customFormat="1" x14ac:dyDescent="0.25">
      <c r="A277" s="197" t="s">
        <v>121</v>
      </c>
      <c r="B277" s="148" t="s">
        <v>7</v>
      </c>
      <c r="C277" s="4" t="s">
        <v>43</v>
      </c>
      <c r="D277" s="568" t="s">
        <v>169</v>
      </c>
      <c r="E277" s="220">
        <v>200</v>
      </c>
      <c r="F277" s="123">
        <f>F278</f>
        <v>15802</v>
      </c>
      <c r="G277" s="227"/>
      <c r="H277" s="123">
        <f>H278</f>
        <v>15802</v>
      </c>
      <c r="I277" s="227"/>
      <c r="J277" s="313">
        <f>J278</f>
        <v>13945.4</v>
      </c>
      <c r="K277" s="511">
        <f t="shared" si="57"/>
        <v>0.88250854322237693</v>
      </c>
      <c r="L277" s="227"/>
      <c r="M277" s="511"/>
      <c r="N277" s="116"/>
      <c r="P277" s="116"/>
      <c r="Q277" s="116"/>
    </row>
    <row r="278" spans="1:17" s="106" customFormat="1" ht="31.5" x14ac:dyDescent="0.25">
      <c r="A278" s="197" t="s">
        <v>52</v>
      </c>
      <c r="B278" s="148" t="s">
        <v>7</v>
      </c>
      <c r="C278" s="4" t="s">
        <v>43</v>
      </c>
      <c r="D278" s="568" t="s">
        <v>169</v>
      </c>
      <c r="E278" s="220">
        <v>240</v>
      </c>
      <c r="F278" s="123">
        <f>'ведом. 2024-2026'!AD199</f>
        <v>15802</v>
      </c>
      <c r="G278" s="227"/>
      <c r="H278" s="123">
        <f>'ведом. 2024-2026'!AD199</f>
        <v>15802</v>
      </c>
      <c r="I278" s="227"/>
      <c r="J278" s="313">
        <f>'ведом. 2024-2026'!AF199</f>
        <v>13945.4</v>
      </c>
      <c r="K278" s="511">
        <f t="shared" si="57"/>
        <v>0.88250854322237693</v>
      </c>
      <c r="L278" s="227"/>
      <c r="M278" s="511"/>
      <c r="N278" s="116"/>
      <c r="P278" s="116"/>
      <c r="Q278" s="116"/>
    </row>
    <row r="279" spans="1:17" s="106" customFormat="1" x14ac:dyDescent="0.25">
      <c r="A279" s="277" t="s">
        <v>44</v>
      </c>
      <c r="B279" s="150" t="s">
        <v>48</v>
      </c>
      <c r="C279" s="145"/>
      <c r="D279" s="534"/>
      <c r="E279" s="592"/>
      <c r="F279" s="125">
        <f t="shared" ref="F279:L279" si="60">F289+F350+F307+F335+F280</f>
        <v>186640.30000000002</v>
      </c>
      <c r="G279" s="242">
        <f t="shared" si="60"/>
        <v>1301</v>
      </c>
      <c r="H279" s="125">
        <f t="shared" ref="H279:I279" si="61">H289+H350+H307+H335+H280</f>
        <v>186640.30000000002</v>
      </c>
      <c r="I279" s="242">
        <f t="shared" si="61"/>
        <v>1301</v>
      </c>
      <c r="J279" s="502">
        <f t="shared" si="60"/>
        <v>180720.1</v>
      </c>
      <c r="K279" s="512">
        <f t="shared" si="57"/>
        <v>0.96828016243008608</v>
      </c>
      <c r="L279" s="242">
        <f t="shared" si="60"/>
        <v>941.5</v>
      </c>
      <c r="M279" s="512">
        <f t="shared" ref="M279:M288" si="62">L279/I279</f>
        <v>0.72367409684857797</v>
      </c>
      <c r="N279" s="116"/>
      <c r="P279" s="116"/>
      <c r="Q279" s="116"/>
    </row>
    <row r="280" spans="1:17" s="106" customFormat="1" ht="18.75" x14ac:dyDescent="0.3">
      <c r="A280" s="268" t="s">
        <v>15</v>
      </c>
      <c r="B280" s="11" t="s">
        <v>48</v>
      </c>
      <c r="C280" s="4" t="s">
        <v>5</v>
      </c>
      <c r="D280" s="545"/>
      <c r="E280" s="595"/>
      <c r="F280" s="123">
        <f t="shared" ref="F280:L283" si="63">F281</f>
        <v>954</v>
      </c>
      <c r="G280" s="227">
        <f t="shared" si="63"/>
        <v>954</v>
      </c>
      <c r="H280" s="123">
        <f t="shared" si="63"/>
        <v>954</v>
      </c>
      <c r="I280" s="227">
        <f t="shared" si="63"/>
        <v>954</v>
      </c>
      <c r="J280" s="313">
        <f t="shared" si="63"/>
        <v>669.2</v>
      </c>
      <c r="K280" s="511">
        <f t="shared" si="57"/>
        <v>0.70146750524109014</v>
      </c>
      <c r="L280" s="227">
        <f t="shared" si="63"/>
        <v>669.2</v>
      </c>
      <c r="M280" s="511">
        <f t="shared" si="62"/>
        <v>0.70146750524109014</v>
      </c>
      <c r="N280" s="116"/>
      <c r="P280" s="116"/>
      <c r="Q280" s="116"/>
    </row>
    <row r="281" spans="1:17" s="106" customFormat="1" ht="18.75" x14ac:dyDescent="0.3">
      <c r="A281" s="278" t="s">
        <v>245</v>
      </c>
      <c r="B281" s="11" t="s">
        <v>48</v>
      </c>
      <c r="C281" s="4" t="s">
        <v>5</v>
      </c>
      <c r="D281" s="568" t="s">
        <v>139</v>
      </c>
      <c r="E281" s="595"/>
      <c r="F281" s="123">
        <f t="shared" si="63"/>
        <v>954</v>
      </c>
      <c r="G281" s="227">
        <f t="shared" si="63"/>
        <v>954</v>
      </c>
      <c r="H281" s="123">
        <f t="shared" si="63"/>
        <v>954</v>
      </c>
      <c r="I281" s="227">
        <f t="shared" si="63"/>
        <v>954</v>
      </c>
      <c r="J281" s="313">
        <f t="shared" si="63"/>
        <v>669.2</v>
      </c>
      <c r="K281" s="511">
        <f t="shared" si="57"/>
        <v>0.70146750524109014</v>
      </c>
      <c r="L281" s="227">
        <f t="shared" si="63"/>
        <v>669.2</v>
      </c>
      <c r="M281" s="511">
        <f t="shared" si="62"/>
        <v>0.70146750524109014</v>
      </c>
      <c r="N281" s="116"/>
      <c r="P281" s="116"/>
      <c r="Q281" s="116"/>
    </row>
    <row r="282" spans="1:17" s="106" customFormat="1" ht="31.5" x14ac:dyDescent="0.3">
      <c r="A282" s="214" t="s">
        <v>450</v>
      </c>
      <c r="B282" s="11" t="s">
        <v>48</v>
      </c>
      <c r="C282" s="4" t="s">
        <v>5</v>
      </c>
      <c r="D282" s="568" t="s">
        <v>246</v>
      </c>
      <c r="E282" s="595"/>
      <c r="F282" s="123">
        <f t="shared" si="63"/>
        <v>954</v>
      </c>
      <c r="G282" s="227">
        <f t="shared" si="63"/>
        <v>954</v>
      </c>
      <c r="H282" s="123">
        <f t="shared" si="63"/>
        <v>954</v>
      </c>
      <c r="I282" s="227">
        <f t="shared" si="63"/>
        <v>954</v>
      </c>
      <c r="J282" s="313">
        <f t="shared" si="63"/>
        <v>669.2</v>
      </c>
      <c r="K282" s="511">
        <f t="shared" si="57"/>
        <v>0.70146750524109014</v>
      </c>
      <c r="L282" s="227">
        <f t="shared" si="63"/>
        <v>669.2</v>
      </c>
      <c r="M282" s="511">
        <f t="shared" si="62"/>
        <v>0.70146750524109014</v>
      </c>
      <c r="N282" s="116"/>
      <c r="P282" s="116"/>
      <c r="Q282" s="116"/>
    </row>
    <row r="283" spans="1:17" s="106" customFormat="1" ht="18.75" x14ac:dyDescent="0.3">
      <c r="A283" s="199" t="s">
        <v>564</v>
      </c>
      <c r="B283" s="11" t="s">
        <v>48</v>
      </c>
      <c r="C283" s="4" t="s">
        <v>5</v>
      </c>
      <c r="D283" s="568" t="s">
        <v>247</v>
      </c>
      <c r="E283" s="595"/>
      <c r="F283" s="123">
        <f t="shared" si="63"/>
        <v>954</v>
      </c>
      <c r="G283" s="227">
        <f t="shared" si="63"/>
        <v>954</v>
      </c>
      <c r="H283" s="123">
        <f t="shared" si="63"/>
        <v>954</v>
      </c>
      <c r="I283" s="227">
        <f t="shared" si="63"/>
        <v>954</v>
      </c>
      <c r="J283" s="313">
        <f t="shared" si="63"/>
        <v>669.2</v>
      </c>
      <c r="K283" s="511">
        <f t="shared" si="57"/>
        <v>0.70146750524109014</v>
      </c>
      <c r="L283" s="227">
        <f t="shared" si="63"/>
        <v>669.2</v>
      </c>
      <c r="M283" s="511">
        <f t="shared" si="62"/>
        <v>0.70146750524109014</v>
      </c>
      <c r="N283" s="116"/>
      <c r="P283" s="116"/>
      <c r="Q283" s="116"/>
    </row>
    <row r="284" spans="1:17" s="106" customFormat="1" ht="31.5" x14ac:dyDescent="0.25">
      <c r="A284" s="199" t="s">
        <v>448</v>
      </c>
      <c r="B284" s="11" t="s">
        <v>48</v>
      </c>
      <c r="C284" s="4" t="s">
        <v>5</v>
      </c>
      <c r="D284" s="568" t="s">
        <v>248</v>
      </c>
      <c r="E284" s="220"/>
      <c r="F284" s="123">
        <f t="shared" ref="F284:L284" si="64">F287+F285</f>
        <v>954</v>
      </c>
      <c r="G284" s="123">
        <f t="shared" si="64"/>
        <v>954</v>
      </c>
      <c r="H284" s="123">
        <f t="shared" ref="H284:I284" si="65">H287+H285</f>
        <v>954</v>
      </c>
      <c r="I284" s="123">
        <f t="shared" si="65"/>
        <v>954</v>
      </c>
      <c r="J284" s="313">
        <f t="shared" si="64"/>
        <v>669.2</v>
      </c>
      <c r="K284" s="511">
        <f t="shared" si="57"/>
        <v>0.70146750524109014</v>
      </c>
      <c r="L284" s="227">
        <f t="shared" si="64"/>
        <v>669.2</v>
      </c>
      <c r="M284" s="511">
        <f t="shared" si="62"/>
        <v>0.70146750524109014</v>
      </c>
      <c r="N284" s="116"/>
      <c r="P284" s="116"/>
      <c r="Q284" s="116"/>
    </row>
    <row r="285" spans="1:17" s="106" customFormat="1" ht="47.25" x14ac:dyDescent="0.25">
      <c r="A285" s="197" t="s">
        <v>41</v>
      </c>
      <c r="B285" s="11" t="s">
        <v>48</v>
      </c>
      <c r="C285" s="4" t="s">
        <v>5</v>
      </c>
      <c r="D285" s="568" t="s">
        <v>248</v>
      </c>
      <c r="E285" s="220">
        <v>100</v>
      </c>
      <c r="F285" s="123">
        <f t="shared" ref="F285:L285" si="66">F286</f>
        <v>141</v>
      </c>
      <c r="G285" s="123">
        <f t="shared" si="66"/>
        <v>141</v>
      </c>
      <c r="H285" s="123">
        <f t="shared" si="66"/>
        <v>141</v>
      </c>
      <c r="I285" s="123">
        <f t="shared" si="66"/>
        <v>141</v>
      </c>
      <c r="J285" s="313">
        <f t="shared" si="66"/>
        <v>141</v>
      </c>
      <c r="K285" s="511">
        <f t="shared" si="57"/>
        <v>1</v>
      </c>
      <c r="L285" s="227">
        <f t="shared" si="66"/>
        <v>141</v>
      </c>
      <c r="M285" s="511">
        <f t="shared" si="62"/>
        <v>1</v>
      </c>
      <c r="N285" s="116"/>
      <c r="P285" s="116"/>
      <c r="Q285" s="116"/>
    </row>
    <row r="286" spans="1:17" s="106" customFormat="1" x14ac:dyDescent="0.25">
      <c r="A286" s="197" t="s">
        <v>97</v>
      </c>
      <c r="B286" s="11" t="s">
        <v>48</v>
      </c>
      <c r="C286" s="4" t="s">
        <v>5</v>
      </c>
      <c r="D286" s="568" t="s">
        <v>248</v>
      </c>
      <c r="E286" s="220">
        <v>120</v>
      </c>
      <c r="F286" s="123">
        <f>'ведом. 2024-2026'!AD845</f>
        <v>141</v>
      </c>
      <c r="G286" s="227">
        <f>F286</f>
        <v>141</v>
      </c>
      <c r="H286" s="123">
        <f>'ведом. 2024-2026'!AD845</f>
        <v>141</v>
      </c>
      <c r="I286" s="227">
        <f>H286</f>
        <v>141</v>
      </c>
      <c r="J286" s="313">
        <f>'ведом. 2024-2026'!AF845</f>
        <v>141</v>
      </c>
      <c r="K286" s="511">
        <f t="shared" si="57"/>
        <v>1</v>
      </c>
      <c r="L286" s="227">
        <f>J286</f>
        <v>141</v>
      </c>
      <c r="M286" s="511">
        <f t="shared" si="62"/>
        <v>1</v>
      </c>
      <c r="N286" s="116"/>
      <c r="P286" s="116"/>
      <c r="Q286" s="116"/>
    </row>
    <row r="287" spans="1:17" s="106" customFormat="1" x14ac:dyDescent="0.25">
      <c r="A287" s="268" t="s">
        <v>121</v>
      </c>
      <c r="B287" s="11" t="s">
        <v>48</v>
      </c>
      <c r="C287" s="4" t="s">
        <v>5</v>
      </c>
      <c r="D287" s="568" t="s">
        <v>248</v>
      </c>
      <c r="E287" s="221">
        <v>200</v>
      </c>
      <c r="F287" s="123">
        <f t="shared" ref="F287:L287" si="67">F288</f>
        <v>813</v>
      </c>
      <c r="G287" s="227">
        <f t="shared" si="67"/>
        <v>813</v>
      </c>
      <c r="H287" s="123">
        <f t="shared" si="67"/>
        <v>813</v>
      </c>
      <c r="I287" s="227">
        <f t="shared" si="67"/>
        <v>813</v>
      </c>
      <c r="J287" s="313">
        <f t="shared" si="67"/>
        <v>528.20000000000005</v>
      </c>
      <c r="K287" s="511">
        <f t="shared" si="57"/>
        <v>0.64969249692496933</v>
      </c>
      <c r="L287" s="227">
        <f t="shared" si="67"/>
        <v>528.20000000000005</v>
      </c>
      <c r="M287" s="511">
        <f t="shared" si="62"/>
        <v>0.64969249692496933</v>
      </c>
      <c r="N287" s="116"/>
      <c r="P287" s="116"/>
      <c r="Q287" s="116"/>
    </row>
    <row r="288" spans="1:17" s="106" customFormat="1" ht="31.5" x14ac:dyDescent="0.25">
      <c r="A288" s="268" t="s">
        <v>52</v>
      </c>
      <c r="B288" s="11" t="s">
        <v>48</v>
      </c>
      <c r="C288" s="4" t="s">
        <v>5</v>
      </c>
      <c r="D288" s="568" t="s">
        <v>248</v>
      </c>
      <c r="E288" s="220">
        <v>240</v>
      </c>
      <c r="F288" s="123">
        <f>'ведом. 2024-2026'!AD847</f>
        <v>813</v>
      </c>
      <c r="G288" s="227">
        <f>F288</f>
        <v>813</v>
      </c>
      <c r="H288" s="123">
        <f>'ведом. 2024-2026'!AD847</f>
        <v>813</v>
      </c>
      <c r="I288" s="227">
        <f>H288</f>
        <v>813</v>
      </c>
      <c r="J288" s="313">
        <f>'ведом. 2024-2026'!AF847</f>
        <v>528.20000000000005</v>
      </c>
      <c r="K288" s="511">
        <f t="shared" si="57"/>
        <v>0.64969249692496933</v>
      </c>
      <c r="L288" s="227">
        <f>J288</f>
        <v>528.20000000000005</v>
      </c>
      <c r="M288" s="511">
        <f t="shared" si="62"/>
        <v>0.64969249692496933</v>
      </c>
      <c r="N288" s="116"/>
      <c r="P288" s="116"/>
      <c r="Q288" s="116"/>
    </row>
    <row r="289" spans="1:17" s="106" customFormat="1" x14ac:dyDescent="0.25">
      <c r="A289" s="268" t="s">
        <v>72</v>
      </c>
      <c r="B289" s="148" t="s">
        <v>48</v>
      </c>
      <c r="C289" s="4" t="s">
        <v>16</v>
      </c>
      <c r="D289" s="458"/>
      <c r="E289" s="221"/>
      <c r="F289" s="123">
        <f>F290+F297</f>
        <v>39294.9</v>
      </c>
      <c r="G289" s="227"/>
      <c r="H289" s="123">
        <f>H290+H297</f>
        <v>39294.9</v>
      </c>
      <c r="I289" s="227"/>
      <c r="J289" s="313">
        <f>J290+J297</f>
        <v>39294.400000000001</v>
      </c>
      <c r="K289" s="511">
        <f t="shared" si="57"/>
        <v>0.99998727570244483</v>
      </c>
      <c r="L289" s="227"/>
      <c r="M289" s="511"/>
      <c r="N289" s="116"/>
      <c r="P289" s="116"/>
      <c r="Q289" s="116"/>
    </row>
    <row r="290" spans="1:17" s="106" customFormat="1" x14ac:dyDescent="0.25">
      <c r="A290" s="199" t="s">
        <v>187</v>
      </c>
      <c r="B290" s="149" t="s">
        <v>48</v>
      </c>
      <c r="C290" s="143" t="s">
        <v>16</v>
      </c>
      <c r="D290" s="568" t="s">
        <v>113</v>
      </c>
      <c r="E290" s="589"/>
      <c r="F290" s="123">
        <f t="shared" ref="F290:J295" si="68">F291</f>
        <v>39179.9</v>
      </c>
      <c r="G290" s="227"/>
      <c r="H290" s="123">
        <f t="shared" si="68"/>
        <v>39179.9</v>
      </c>
      <c r="I290" s="227"/>
      <c r="J290" s="313">
        <f t="shared" si="68"/>
        <v>39179.9</v>
      </c>
      <c r="K290" s="511">
        <f t="shared" si="57"/>
        <v>1</v>
      </c>
      <c r="L290" s="227"/>
      <c r="M290" s="511"/>
      <c r="N290" s="116"/>
      <c r="P290" s="116"/>
      <c r="Q290" s="116"/>
    </row>
    <row r="291" spans="1:17" s="106" customFormat="1" x14ac:dyDescent="0.25">
      <c r="A291" s="199" t="s">
        <v>191</v>
      </c>
      <c r="B291" s="149" t="s">
        <v>48</v>
      </c>
      <c r="C291" s="143" t="s">
        <v>16</v>
      </c>
      <c r="D291" s="568" t="s">
        <v>192</v>
      </c>
      <c r="E291" s="589"/>
      <c r="F291" s="123">
        <f t="shared" si="68"/>
        <v>39179.9</v>
      </c>
      <c r="G291" s="227"/>
      <c r="H291" s="123">
        <f t="shared" si="68"/>
        <v>39179.9</v>
      </c>
      <c r="I291" s="227"/>
      <c r="J291" s="313">
        <f t="shared" si="68"/>
        <v>39179.9</v>
      </c>
      <c r="K291" s="511">
        <f t="shared" si="57"/>
        <v>1</v>
      </c>
      <c r="L291" s="227"/>
      <c r="M291" s="511"/>
      <c r="N291" s="116"/>
      <c r="P291" s="116"/>
      <c r="Q291" s="116"/>
    </row>
    <row r="292" spans="1:17" s="106" customFormat="1" ht="31.5" x14ac:dyDescent="0.25">
      <c r="A292" s="199" t="s">
        <v>193</v>
      </c>
      <c r="B292" s="149" t="s">
        <v>48</v>
      </c>
      <c r="C292" s="143" t="s">
        <v>16</v>
      </c>
      <c r="D292" s="568" t="s">
        <v>194</v>
      </c>
      <c r="E292" s="589"/>
      <c r="F292" s="123">
        <f t="shared" si="68"/>
        <v>39179.9</v>
      </c>
      <c r="G292" s="227"/>
      <c r="H292" s="123">
        <f t="shared" si="68"/>
        <v>39179.9</v>
      </c>
      <c r="I292" s="227"/>
      <c r="J292" s="313">
        <f t="shared" si="68"/>
        <v>39179.9</v>
      </c>
      <c r="K292" s="511">
        <f t="shared" si="57"/>
        <v>1</v>
      </c>
      <c r="L292" s="227"/>
      <c r="M292" s="511"/>
      <c r="N292" s="116"/>
      <c r="P292" s="116"/>
      <c r="Q292" s="116"/>
    </row>
    <row r="293" spans="1:17" s="106" customFormat="1" ht="31.5" x14ac:dyDescent="0.25">
      <c r="A293" s="200" t="s">
        <v>205</v>
      </c>
      <c r="B293" s="149" t="s">
        <v>48</v>
      </c>
      <c r="C293" s="143" t="s">
        <v>16</v>
      </c>
      <c r="D293" s="541" t="s">
        <v>206</v>
      </c>
      <c r="E293" s="589"/>
      <c r="F293" s="123">
        <f t="shared" si="68"/>
        <v>39179.9</v>
      </c>
      <c r="G293" s="227"/>
      <c r="H293" s="123">
        <f t="shared" si="68"/>
        <v>39179.9</v>
      </c>
      <c r="I293" s="227"/>
      <c r="J293" s="313">
        <f t="shared" si="68"/>
        <v>39179.9</v>
      </c>
      <c r="K293" s="511">
        <f t="shared" si="57"/>
        <v>1</v>
      </c>
      <c r="L293" s="227"/>
      <c r="M293" s="511"/>
      <c r="N293" s="116"/>
      <c r="P293" s="116"/>
      <c r="Q293" s="116"/>
    </row>
    <row r="294" spans="1:17" s="106" customFormat="1" ht="47.25" x14ac:dyDescent="0.25">
      <c r="A294" s="201" t="s">
        <v>388</v>
      </c>
      <c r="B294" s="149" t="s">
        <v>48</v>
      </c>
      <c r="C294" s="143" t="s">
        <v>16</v>
      </c>
      <c r="D294" s="541" t="s">
        <v>325</v>
      </c>
      <c r="E294" s="589"/>
      <c r="F294" s="123">
        <f t="shared" si="68"/>
        <v>39179.9</v>
      </c>
      <c r="G294" s="227"/>
      <c r="H294" s="123">
        <f t="shared" si="68"/>
        <v>39179.9</v>
      </c>
      <c r="I294" s="227"/>
      <c r="J294" s="313">
        <f t="shared" si="68"/>
        <v>39179.9</v>
      </c>
      <c r="K294" s="511">
        <f t="shared" si="57"/>
        <v>1</v>
      </c>
      <c r="L294" s="227"/>
      <c r="M294" s="511"/>
      <c r="N294" s="116"/>
      <c r="P294" s="116"/>
      <c r="Q294" s="116"/>
    </row>
    <row r="295" spans="1:17" s="106" customFormat="1" ht="31.5" x14ac:dyDescent="0.25">
      <c r="A295" s="268" t="s">
        <v>61</v>
      </c>
      <c r="B295" s="149" t="s">
        <v>48</v>
      </c>
      <c r="C295" s="143" t="s">
        <v>16</v>
      </c>
      <c r="D295" s="541" t="s">
        <v>325</v>
      </c>
      <c r="E295" s="589">
        <v>600</v>
      </c>
      <c r="F295" s="123">
        <f t="shared" si="68"/>
        <v>39179.9</v>
      </c>
      <c r="G295" s="227"/>
      <c r="H295" s="123">
        <f t="shared" si="68"/>
        <v>39179.9</v>
      </c>
      <c r="I295" s="227"/>
      <c r="J295" s="313">
        <f t="shared" si="68"/>
        <v>39179.9</v>
      </c>
      <c r="K295" s="511">
        <f t="shared" si="57"/>
        <v>1</v>
      </c>
      <c r="L295" s="227"/>
      <c r="M295" s="511"/>
      <c r="N295" s="116"/>
      <c r="P295" s="116"/>
      <c r="Q295" s="116"/>
    </row>
    <row r="296" spans="1:17" s="106" customFormat="1" x14ac:dyDescent="0.25">
      <c r="A296" s="268" t="s">
        <v>62</v>
      </c>
      <c r="B296" s="149" t="s">
        <v>48</v>
      </c>
      <c r="C296" s="143" t="s">
        <v>16</v>
      </c>
      <c r="D296" s="541" t="s">
        <v>325</v>
      </c>
      <c r="E296" s="589">
        <v>610</v>
      </c>
      <c r="F296" s="123">
        <f>'ведом. 2024-2026'!AD208</f>
        <v>39179.9</v>
      </c>
      <c r="G296" s="227"/>
      <c r="H296" s="123">
        <f>'ведом. 2024-2026'!AD208</f>
        <v>39179.9</v>
      </c>
      <c r="I296" s="227"/>
      <c r="J296" s="313">
        <f>'ведом. 2024-2026'!AF208</f>
        <v>39179.9</v>
      </c>
      <c r="K296" s="511">
        <f t="shared" si="57"/>
        <v>1</v>
      </c>
      <c r="L296" s="227"/>
      <c r="M296" s="511"/>
      <c r="N296" s="116"/>
      <c r="P296" s="116"/>
      <c r="Q296" s="116"/>
    </row>
    <row r="297" spans="1:17" s="106" customFormat="1" ht="31.5" x14ac:dyDescent="0.25">
      <c r="A297" s="199" t="s">
        <v>230</v>
      </c>
      <c r="B297" s="148" t="s">
        <v>48</v>
      </c>
      <c r="C297" s="4" t="s">
        <v>16</v>
      </c>
      <c r="D297" s="568" t="s">
        <v>231</v>
      </c>
      <c r="E297" s="221"/>
      <c r="F297" s="123">
        <f t="shared" ref="F297:J301" si="69">F298</f>
        <v>115</v>
      </c>
      <c r="G297" s="227"/>
      <c r="H297" s="123">
        <f t="shared" si="69"/>
        <v>115</v>
      </c>
      <c r="I297" s="227"/>
      <c r="J297" s="313">
        <f t="shared" si="69"/>
        <v>114.5</v>
      </c>
      <c r="K297" s="511">
        <f t="shared" si="57"/>
        <v>0.9956521739130435</v>
      </c>
      <c r="L297" s="227"/>
      <c r="M297" s="511"/>
      <c r="N297" s="116"/>
      <c r="P297" s="116"/>
      <c r="Q297" s="116"/>
    </row>
    <row r="298" spans="1:17" s="106" customFormat="1" x14ac:dyDescent="0.25">
      <c r="A298" s="199" t="s">
        <v>232</v>
      </c>
      <c r="B298" s="148" t="s">
        <v>48</v>
      </c>
      <c r="C298" s="4" t="s">
        <v>16</v>
      </c>
      <c r="D298" s="568" t="s">
        <v>233</v>
      </c>
      <c r="E298" s="220"/>
      <c r="F298" s="123">
        <f t="shared" si="69"/>
        <v>115</v>
      </c>
      <c r="G298" s="227"/>
      <c r="H298" s="123">
        <f t="shared" si="69"/>
        <v>115</v>
      </c>
      <c r="I298" s="227"/>
      <c r="J298" s="313">
        <f t="shared" si="69"/>
        <v>114.5</v>
      </c>
      <c r="K298" s="511">
        <f t="shared" si="57"/>
        <v>0.9956521739130435</v>
      </c>
      <c r="L298" s="227"/>
      <c r="M298" s="511"/>
      <c r="N298" s="116"/>
      <c r="P298" s="116"/>
      <c r="Q298" s="116"/>
    </row>
    <row r="299" spans="1:17" s="106" customFormat="1" x14ac:dyDescent="0.25">
      <c r="A299" s="201" t="s">
        <v>452</v>
      </c>
      <c r="B299" s="148" t="s">
        <v>48</v>
      </c>
      <c r="C299" s="4" t="s">
        <v>16</v>
      </c>
      <c r="D299" s="568" t="s">
        <v>351</v>
      </c>
      <c r="E299" s="220"/>
      <c r="F299" s="123">
        <f t="shared" si="69"/>
        <v>115</v>
      </c>
      <c r="G299" s="227"/>
      <c r="H299" s="123">
        <f t="shared" si="69"/>
        <v>115</v>
      </c>
      <c r="I299" s="227"/>
      <c r="J299" s="313">
        <f t="shared" si="69"/>
        <v>114.5</v>
      </c>
      <c r="K299" s="511">
        <f t="shared" si="57"/>
        <v>0.9956521739130435</v>
      </c>
      <c r="L299" s="227"/>
      <c r="M299" s="511"/>
      <c r="N299" s="116"/>
      <c r="P299" s="116"/>
      <c r="Q299" s="116"/>
    </row>
    <row r="300" spans="1:17" s="106" customFormat="1" ht="47.25" x14ac:dyDescent="0.25">
      <c r="A300" s="200" t="s">
        <v>234</v>
      </c>
      <c r="B300" s="148" t="s">
        <v>48</v>
      </c>
      <c r="C300" s="4" t="s">
        <v>16</v>
      </c>
      <c r="D300" s="568" t="s">
        <v>352</v>
      </c>
      <c r="E300" s="220"/>
      <c r="F300" s="123">
        <f>F301+F304</f>
        <v>115</v>
      </c>
      <c r="G300" s="227"/>
      <c r="H300" s="123">
        <f>H301+H304</f>
        <v>115</v>
      </c>
      <c r="I300" s="227"/>
      <c r="J300" s="313">
        <f>J301+J304</f>
        <v>114.5</v>
      </c>
      <c r="K300" s="511">
        <f t="shared" si="57"/>
        <v>0.9956521739130435</v>
      </c>
      <c r="L300" s="227"/>
      <c r="M300" s="511"/>
      <c r="N300" s="116"/>
      <c r="P300" s="116"/>
      <c r="Q300" s="116"/>
    </row>
    <row r="301" spans="1:17" s="106" customFormat="1" ht="47.25" x14ac:dyDescent="0.25">
      <c r="A301" s="200" t="s">
        <v>329</v>
      </c>
      <c r="B301" s="148" t="s">
        <v>48</v>
      </c>
      <c r="C301" s="4" t="s">
        <v>16</v>
      </c>
      <c r="D301" s="568" t="s">
        <v>353</v>
      </c>
      <c r="E301" s="220"/>
      <c r="F301" s="123">
        <f t="shared" si="69"/>
        <v>0.1</v>
      </c>
      <c r="G301" s="227"/>
      <c r="H301" s="123">
        <f t="shared" si="69"/>
        <v>0.1</v>
      </c>
      <c r="I301" s="227"/>
      <c r="J301" s="313">
        <f t="shared" si="69"/>
        <v>0</v>
      </c>
      <c r="K301" s="511">
        <f t="shared" si="57"/>
        <v>0</v>
      </c>
      <c r="L301" s="227"/>
      <c r="M301" s="511"/>
      <c r="N301" s="116"/>
      <c r="P301" s="116"/>
      <c r="Q301" s="116"/>
    </row>
    <row r="302" spans="1:17" s="106" customFormat="1" x14ac:dyDescent="0.25">
      <c r="A302" s="268" t="s">
        <v>121</v>
      </c>
      <c r="B302" s="148" t="s">
        <v>48</v>
      </c>
      <c r="C302" s="4" t="s">
        <v>16</v>
      </c>
      <c r="D302" s="568" t="s">
        <v>353</v>
      </c>
      <c r="E302" s="220">
        <v>200</v>
      </c>
      <c r="F302" s="123">
        <f>'ведом. 2024-2026'!AD215</f>
        <v>0.1</v>
      </c>
      <c r="G302" s="227"/>
      <c r="H302" s="123">
        <f>H303</f>
        <v>0.1</v>
      </c>
      <c r="I302" s="227"/>
      <c r="J302" s="313">
        <f>'ведом. 2024-2026'!AF215</f>
        <v>0</v>
      </c>
      <c r="K302" s="511">
        <f t="shared" si="57"/>
        <v>0</v>
      </c>
      <c r="L302" s="227"/>
      <c r="M302" s="511"/>
      <c r="N302" s="116"/>
      <c r="P302" s="116"/>
      <c r="Q302" s="116"/>
    </row>
    <row r="303" spans="1:17" s="106" customFormat="1" ht="31.5" x14ac:dyDescent="0.25">
      <c r="A303" s="268" t="s">
        <v>52</v>
      </c>
      <c r="B303" s="149" t="s">
        <v>48</v>
      </c>
      <c r="C303" s="143" t="s">
        <v>16</v>
      </c>
      <c r="D303" s="568" t="s">
        <v>353</v>
      </c>
      <c r="E303" s="220">
        <v>240</v>
      </c>
      <c r="F303" s="123">
        <f>'ведом. 2024-2026'!AD215</f>
        <v>0.1</v>
      </c>
      <c r="G303" s="227"/>
      <c r="H303" s="123">
        <f>'ведом. 2024-2026'!AD215</f>
        <v>0.1</v>
      </c>
      <c r="I303" s="227"/>
      <c r="J303" s="313">
        <f>'ведом. 2024-2026'!AF215</f>
        <v>0</v>
      </c>
      <c r="K303" s="511">
        <f t="shared" si="57"/>
        <v>0</v>
      </c>
      <c r="L303" s="227"/>
      <c r="M303" s="511"/>
      <c r="N303" s="116"/>
      <c r="P303" s="116"/>
      <c r="Q303" s="116"/>
    </row>
    <row r="304" spans="1:17" s="106" customFormat="1" ht="47.25" x14ac:dyDescent="0.25">
      <c r="A304" s="268" t="s">
        <v>330</v>
      </c>
      <c r="B304" s="149" t="s">
        <v>48</v>
      </c>
      <c r="C304" s="143" t="s">
        <v>16</v>
      </c>
      <c r="D304" s="568" t="s">
        <v>354</v>
      </c>
      <c r="E304" s="220"/>
      <c r="F304" s="123">
        <f>F305</f>
        <v>114.9</v>
      </c>
      <c r="G304" s="227"/>
      <c r="H304" s="123">
        <f>H305</f>
        <v>114.9</v>
      </c>
      <c r="I304" s="227"/>
      <c r="J304" s="313">
        <f>J305</f>
        <v>114.5</v>
      </c>
      <c r="K304" s="511">
        <f t="shared" si="57"/>
        <v>0.99651871192341157</v>
      </c>
      <c r="L304" s="227"/>
      <c r="M304" s="511"/>
      <c r="N304" s="116"/>
      <c r="P304" s="116"/>
      <c r="Q304" s="116"/>
    </row>
    <row r="305" spans="1:17" s="106" customFormat="1" x14ac:dyDescent="0.25">
      <c r="A305" s="268" t="s">
        <v>121</v>
      </c>
      <c r="B305" s="149" t="s">
        <v>48</v>
      </c>
      <c r="C305" s="143" t="s">
        <v>16</v>
      </c>
      <c r="D305" s="568" t="s">
        <v>354</v>
      </c>
      <c r="E305" s="220">
        <v>200</v>
      </c>
      <c r="F305" s="123">
        <f>F306</f>
        <v>114.9</v>
      </c>
      <c r="G305" s="227"/>
      <c r="H305" s="123">
        <f>H306</f>
        <v>114.9</v>
      </c>
      <c r="I305" s="227"/>
      <c r="J305" s="313">
        <f>J306</f>
        <v>114.5</v>
      </c>
      <c r="K305" s="511">
        <f t="shared" si="57"/>
        <v>0.99651871192341157</v>
      </c>
      <c r="L305" s="227"/>
      <c r="M305" s="511"/>
      <c r="N305" s="116"/>
      <c r="P305" s="116"/>
      <c r="Q305" s="116"/>
    </row>
    <row r="306" spans="1:17" s="106" customFormat="1" ht="31.5" x14ac:dyDescent="0.25">
      <c r="A306" s="268" t="s">
        <v>52</v>
      </c>
      <c r="B306" s="149" t="s">
        <v>48</v>
      </c>
      <c r="C306" s="143" t="s">
        <v>16</v>
      </c>
      <c r="D306" s="568" t="s">
        <v>354</v>
      </c>
      <c r="E306" s="220">
        <v>240</v>
      </c>
      <c r="F306" s="123">
        <f>'ведом. 2024-2026'!AD218</f>
        <v>114.9</v>
      </c>
      <c r="G306" s="227"/>
      <c r="H306" s="123">
        <f>'ведом. 2024-2026'!AD218</f>
        <v>114.9</v>
      </c>
      <c r="I306" s="227"/>
      <c r="J306" s="313">
        <f>'ведом. 2024-2026'!AF218</f>
        <v>114.5</v>
      </c>
      <c r="K306" s="511">
        <f t="shared" si="57"/>
        <v>0.99651871192341157</v>
      </c>
      <c r="L306" s="227"/>
      <c r="M306" s="511"/>
      <c r="N306" s="116"/>
      <c r="P306" s="116"/>
      <c r="Q306" s="116"/>
    </row>
    <row r="307" spans="1:17" s="106" customFormat="1" x14ac:dyDescent="0.25">
      <c r="A307" s="268" t="s">
        <v>94</v>
      </c>
      <c r="B307" s="148" t="s">
        <v>48</v>
      </c>
      <c r="C307" s="4" t="s">
        <v>22</v>
      </c>
      <c r="D307" s="575"/>
      <c r="E307" s="220"/>
      <c r="F307" s="123">
        <f>F308+F325</f>
        <v>139734.39999999999</v>
      </c>
      <c r="G307" s="227"/>
      <c r="H307" s="123">
        <f>H308+H325</f>
        <v>139734.39999999999</v>
      </c>
      <c r="I307" s="227"/>
      <c r="J307" s="313">
        <f>J308+J325</f>
        <v>134940.09999999998</v>
      </c>
      <c r="K307" s="511">
        <f t="shared" si="57"/>
        <v>0.96568990885565742</v>
      </c>
      <c r="L307" s="227"/>
      <c r="M307" s="511"/>
      <c r="N307" s="116"/>
      <c r="P307" s="116"/>
      <c r="Q307" s="116"/>
    </row>
    <row r="308" spans="1:17" s="106" customFormat="1" ht="31.5" x14ac:dyDescent="0.25">
      <c r="A308" s="199" t="s">
        <v>230</v>
      </c>
      <c r="B308" s="148" t="s">
        <v>48</v>
      </c>
      <c r="C308" s="4" t="s">
        <v>22</v>
      </c>
      <c r="D308" s="568" t="s">
        <v>231</v>
      </c>
      <c r="E308" s="220"/>
      <c r="F308" s="123">
        <f>F309+F320</f>
        <v>96602.4</v>
      </c>
      <c r="G308" s="227"/>
      <c r="H308" s="123">
        <f>H309+H320</f>
        <v>96602.4</v>
      </c>
      <c r="I308" s="227"/>
      <c r="J308" s="313">
        <f>J309+J320</f>
        <v>92509.4</v>
      </c>
      <c r="K308" s="511">
        <f t="shared" si="57"/>
        <v>0.95763045224549281</v>
      </c>
      <c r="L308" s="227"/>
      <c r="M308" s="511"/>
      <c r="N308" s="116"/>
      <c r="P308" s="116"/>
      <c r="Q308" s="116"/>
    </row>
    <row r="309" spans="1:17" s="106" customFormat="1" x14ac:dyDescent="0.25">
      <c r="A309" s="199" t="s">
        <v>236</v>
      </c>
      <c r="B309" s="148" t="s">
        <v>48</v>
      </c>
      <c r="C309" s="4" t="s">
        <v>22</v>
      </c>
      <c r="D309" s="568" t="s">
        <v>237</v>
      </c>
      <c r="E309" s="220"/>
      <c r="F309" s="123">
        <f>F310</f>
        <v>76597.399999999994</v>
      </c>
      <c r="G309" s="227"/>
      <c r="H309" s="123">
        <f>H310</f>
        <v>76597.399999999994</v>
      </c>
      <c r="I309" s="227"/>
      <c r="J309" s="313">
        <f>J310</f>
        <v>72504.399999999994</v>
      </c>
      <c r="K309" s="511">
        <f t="shared" si="57"/>
        <v>0.94656476590589234</v>
      </c>
      <c r="L309" s="227"/>
      <c r="M309" s="511"/>
      <c r="N309" s="116"/>
      <c r="P309" s="116"/>
      <c r="Q309" s="116"/>
    </row>
    <row r="310" spans="1:17" s="106" customFormat="1" ht="31.5" x14ac:dyDescent="0.25">
      <c r="A310" s="200" t="s">
        <v>235</v>
      </c>
      <c r="B310" s="151" t="s">
        <v>48</v>
      </c>
      <c r="C310" s="142" t="s">
        <v>22</v>
      </c>
      <c r="D310" s="568" t="s">
        <v>535</v>
      </c>
      <c r="E310" s="221"/>
      <c r="F310" s="123">
        <f>F314+F317+F311</f>
        <v>76597.399999999994</v>
      </c>
      <c r="G310" s="227"/>
      <c r="H310" s="123">
        <f>H314+H317+H311</f>
        <v>76597.399999999994</v>
      </c>
      <c r="I310" s="227"/>
      <c r="J310" s="313">
        <f>J314+J317+J311</f>
        <v>72504.399999999994</v>
      </c>
      <c r="K310" s="511">
        <f t="shared" si="57"/>
        <v>0.94656476590589234</v>
      </c>
      <c r="L310" s="227"/>
      <c r="M310" s="511"/>
      <c r="N310" s="116"/>
      <c r="P310" s="116"/>
      <c r="Q310" s="116"/>
    </row>
    <row r="311" spans="1:17" s="106" customFormat="1" ht="31.5" x14ac:dyDescent="0.25">
      <c r="A311" s="279" t="s">
        <v>373</v>
      </c>
      <c r="B311" s="148" t="s">
        <v>48</v>
      </c>
      <c r="C311" s="4" t="s">
        <v>22</v>
      </c>
      <c r="D311" s="568" t="s">
        <v>536</v>
      </c>
      <c r="E311" s="221"/>
      <c r="F311" s="123">
        <f>F312</f>
        <v>1279.4000000000001</v>
      </c>
      <c r="G311" s="227"/>
      <c r="H311" s="123">
        <f>H312</f>
        <v>1279.4000000000001</v>
      </c>
      <c r="I311" s="227"/>
      <c r="J311" s="313">
        <f>J312</f>
        <v>1053.7</v>
      </c>
      <c r="K311" s="511">
        <f t="shared" si="57"/>
        <v>0.82358918242926371</v>
      </c>
      <c r="L311" s="227"/>
      <c r="M311" s="511"/>
      <c r="N311" s="116"/>
      <c r="P311" s="116"/>
      <c r="Q311" s="116"/>
    </row>
    <row r="312" spans="1:17" s="106" customFormat="1" x14ac:dyDescent="0.25">
      <c r="A312" s="197" t="s">
        <v>121</v>
      </c>
      <c r="B312" s="148" t="s">
        <v>48</v>
      </c>
      <c r="C312" s="4" t="s">
        <v>22</v>
      </c>
      <c r="D312" s="568" t="s">
        <v>536</v>
      </c>
      <c r="E312" s="220">
        <v>200</v>
      </c>
      <c r="F312" s="123">
        <f>F313</f>
        <v>1279.4000000000001</v>
      </c>
      <c r="G312" s="227"/>
      <c r="H312" s="123">
        <f>H313</f>
        <v>1279.4000000000001</v>
      </c>
      <c r="I312" s="227"/>
      <c r="J312" s="313">
        <f>J313</f>
        <v>1053.7</v>
      </c>
      <c r="K312" s="511">
        <f t="shared" si="57"/>
        <v>0.82358918242926371</v>
      </c>
      <c r="L312" s="227"/>
      <c r="M312" s="511"/>
      <c r="N312" s="116"/>
      <c r="P312" s="116"/>
      <c r="Q312" s="116"/>
    </row>
    <row r="313" spans="1:17" s="106" customFormat="1" ht="31.5" x14ac:dyDescent="0.25">
      <c r="A313" s="197" t="s">
        <v>52</v>
      </c>
      <c r="B313" s="151" t="s">
        <v>48</v>
      </c>
      <c r="C313" s="142" t="s">
        <v>22</v>
      </c>
      <c r="D313" s="568" t="s">
        <v>536</v>
      </c>
      <c r="E313" s="220">
        <v>240</v>
      </c>
      <c r="F313" s="123">
        <f>'ведом. 2024-2026'!AD854</f>
        <v>1279.4000000000001</v>
      </c>
      <c r="G313" s="227"/>
      <c r="H313" s="123">
        <f>'ведом. 2024-2026'!AD854</f>
        <v>1279.4000000000001</v>
      </c>
      <c r="I313" s="227"/>
      <c r="J313" s="313">
        <f>'ведом. 2024-2026'!AF854</f>
        <v>1053.7</v>
      </c>
      <c r="K313" s="511">
        <f t="shared" si="57"/>
        <v>0.82358918242926371</v>
      </c>
      <c r="L313" s="227"/>
      <c r="M313" s="511"/>
      <c r="N313" s="116"/>
      <c r="P313" s="116"/>
      <c r="Q313" s="116"/>
    </row>
    <row r="314" spans="1:17" s="106" customFormat="1" x14ac:dyDescent="0.25">
      <c r="A314" s="201" t="s">
        <v>360</v>
      </c>
      <c r="B314" s="151" t="s">
        <v>48</v>
      </c>
      <c r="C314" s="142" t="s">
        <v>22</v>
      </c>
      <c r="D314" s="568" t="s">
        <v>537</v>
      </c>
      <c r="E314" s="220"/>
      <c r="F314" s="123">
        <f>F315</f>
        <v>19950</v>
      </c>
      <c r="G314" s="227"/>
      <c r="H314" s="123">
        <f>H315</f>
        <v>19950</v>
      </c>
      <c r="I314" s="227"/>
      <c r="J314" s="313">
        <f>J315</f>
        <v>19728.599999999999</v>
      </c>
      <c r="K314" s="511">
        <f t="shared" si="57"/>
        <v>0.98890225563909762</v>
      </c>
      <c r="L314" s="227"/>
      <c r="M314" s="511"/>
      <c r="N314" s="116"/>
      <c r="P314" s="116"/>
      <c r="Q314" s="116"/>
    </row>
    <row r="315" spans="1:17" s="106" customFormat="1" x14ac:dyDescent="0.25">
      <c r="A315" s="268" t="s">
        <v>121</v>
      </c>
      <c r="B315" s="148" t="s">
        <v>48</v>
      </c>
      <c r="C315" s="4" t="s">
        <v>22</v>
      </c>
      <c r="D315" s="568" t="s">
        <v>537</v>
      </c>
      <c r="E315" s="220">
        <v>200</v>
      </c>
      <c r="F315" s="123">
        <f>F316</f>
        <v>19950</v>
      </c>
      <c r="G315" s="227"/>
      <c r="H315" s="123">
        <f>H316</f>
        <v>19950</v>
      </c>
      <c r="I315" s="227"/>
      <c r="J315" s="313">
        <f>J316</f>
        <v>19728.599999999999</v>
      </c>
      <c r="K315" s="511">
        <f t="shared" si="57"/>
        <v>0.98890225563909762</v>
      </c>
      <c r="L315" s="227"/>
      <c r="M315" s="511"/>
      <c r="N315" s="116"/>
      <c r="P315" s="116"/>
      <c r="Q315" s="116"/>
    </row>
    <row r="316" spans="1:17" s="106" customFormat="1" ht="31.5" x14ac:dyDescent="0.25">
      <c r="A316" s="268" t="s">
        <v>52</v>
      </c>
      <c r="B316" s="148" t="s">
        <v>48</v>
      </c>
      <c r="C316" s="4" t="s">
        <v>22</v>
      </c>
      <c r="D316" s="568" t="s">
        <v>537</v>
      </c>
      <c r="E316" s="220">
        <v>240</v>
      </c>
      <c r="F316" s="123">
        <f>'ведом. 2024-2026'!AD857</f>
        <v>19950</v>
      </c>
      <c r="G316" s="227"/>
      <c r="H316" s="123">
        <f>'ведом. 2024-2026'!AD857</f>
        <v>19950</v>
      </c>
      <c r="I316" s="227"/>
      <c r="J316" s="313">
        <f>'ведом. 2024-2026'!AF857</f>
        <v>19728.599999999999</v>
      </c>
      <c r="K316" s="511">
        <f t="shared" si="57"/>
        <v>0.98890225563909762</v>
      </c>
      <c r="L316" s="227"/>
      <c r="M316" s="511"/>
      <c r="N316" s="116"/>
      <c r="P316" s="116"/>
      <c r="Q316" s="116"/>
    </row>
    <row r="317" spans="1:17" s="106" customFormat="1" x14ac:dyDescent="0.25">
      <c r="A317" s="200" t="s">
        <v>668</v>
      </c>
      <c r="B317" s="151" t="s">
        <v>48</v>
      </c>
      <c r="C317" s="142" t="s">
        <v>22</v>
      </c>
      <c r="D317" s="211" t="s">
        <v>667</v>
      </c>
      <c r="E317" s="220"/>
      <c r="F317" s="123">
        <f t="shared" ref="F317:J318" si="70">F318</f>
        <v>55368</v>
      </c>
      <c r="G317" s="227"/>
      <c r="H317" s="123">
        <f t="shared" si="70"/>
        <v>55368</v>
      </c>
      <c r="I317" s="227"/>
      <c r="J317" s="313">
        <f t="shared" si="70"/>
        <v>51722.1</v>
      </c>
      <c r="K317" s="511">
        <f t="shared" si="57"/>
        <v>0.93415149544863452</v>
      </c>
      <c r="L317" s="227"/>
      <c r="M317" s="511"/>
      <c r="N317" s="116"/>
      <c r="P317" s="116"/>
      <c r="Q317" s="116"/>
    </row>
    <row r="318" spans="1:17" s="106" customFormat="1" x14ac:dyDescent="0.25">
      <c r="A318" s="268" t="s">
        <v>121</v>
      </c>
      <c r="B318" s="151" t="s">
        <v>48</v>
      </c>
      <c r="C318" s="142" t="s">
        <v>22</v>
      </c>
      <c r="D318" s="211" t="s">
        <v>667</v>
      </c>
      <c r="E318" s="220">
        <v>200</v>
      </c>
      <c r="F318" s="123">
        <f t="shared" si="70"/>
        <v>55368</v>
      </c>
      <c r="G318" s="227"/>
      <c r="H318" s="123">
        <f t="shared" si="70"/>
        <v>55368</v>
      </c>
      <c r="I318" s="227"/>
      <c r="J318" s="313">
        <f t="shared" si="70"/>
        <v>51722.1</v>
      </c>
      <c r="K318" s="511">
        <f t="shared" si="57"/>
        <v>0.93415149544863452</v>
      </c>
      <c r="L318" s="227"/>
      <c r="M318" s="511"/>
      <c r="N318" s="116"/>
      <c r="P318" s="116"/>
      <c r="Q318" s="116"/>
    </row>
    <row r="319" spans="1:17" s="106" customFormat="1" ht="31.5" x14ac:dyDescent="0.25">
      <c r="A319" s="268" t="s">
        <v>52</v>
      </c>
      <c r="B319" s="151" t="s">
        <v>48</v>
      </c>
      <c r="C319" s="142" t="s">
        <v>22</v>
      </c>
      <c r="D319" s="211" t="s">
        <v>667</v>
      </c>
      <c r="E319" s="220">
        <v>240</v>
      </c>
      <c r="F319" s="123">
        <f>'ведом. 2024-2026'!AD860</f>
        <v>55368</v>
      </c>
      <c r="G319" s="227"/>
      <c r="H319" s="123">
        <f>'ведом. 2024-2026'!AD860</f>
        <v>55368</v>
      </c>
      <c r="I319" s="227"/>
      <c r="J319" s="313">
        <f>'ведом. 2024-2026'!AF860</f>
        <v>51722.1</v>
      </c>
      <c r="K319" s="511">
        <f t="shared" si="57"/>
        <v>0.93415149544863452</v>
      </c>
      <c r="L319" s="227"/>
      <c r="M319" s="511"/>
      <c r="N319" s="116"/>
      <c r="P319" s="116"/>
      <c r="Q319" s="116"/>
    </row>
    <row r="320" spans="1:17" s="106" customFormat="1" x14ac:dyDescent="0.25">
      <c r="A320" s="199" t="s">
        <v>47</v>
      </c>
      <c r="B320" s="151" t="s">
        <v>48</v>
      </c>
      <c r="C320" s="142" t="s">
        <v>22</v>
      </c>
      <c r="D320" s="568" t="s">
        <v>355</v>
      </c>
      <c r="E320" s="221"/>
      <c r="F320" s="123">
        <f>F321</f>
        <v>20005</v>
      </c>
      <c r="G320" s="227"/>
      <c r="H320" s="123">
        <f>H321</f>
        <v>20005</v>
      </c>
      <c r="I320" s="227"/>
      <c r="J320" s="313">
        <f>J321</f>
        <v>20005</v>
      </c>
      <c r="K320" s="511">
        <f t="shared" si="57"/>
        <v>1</v>
      </c>
      <c r="L320" s="227"/>
      <c r="M320" s="511"/>
      <c r="N320" s="116"/>
      <c r="P320" s="116"/>
      <c r="Q320" s="116"/>
    </row>
    <row r="321" spans="1:17" s="106" customFormat="1" ht="31.5" x14ac:dyDescent="0.25">
      <c r="A321" s="199" t="s">
        <v>193</v>
      </c>
      <c r="B321" s="151" t="s">
        <v>48</v>
      </c>
      <c r="C321" s="142" t="s">
        <v>22</v>
      </c>
      <c r="D321" s="568" t="s">
        <v>356</v>
      </c>
      <c r="E321" s="220"/>
      <c r="F321" s="123">
        <f>F322</f>
        <v>20005</v>
      </c>
      <c r="G321" s="227"/>
      <c r="H321" s="123">
        <f>H322</f>
        <v>20005</v>
      </c>
      <c r="I321" s="227"/>
      <c r="J321" s="313">
        <f>J322</f>
        <v>20005</v>
      </c>
      <c r="K321" s="511">
        <f t="shared" si="57"/>
        <v>1</v>
      </c>
      <c r="L321" s="227"/>
      <c r="M321" s="511"/>
      <c r="N321" s="116"/>
      <c r="P321" s="116"/>
      <c r="Q321" s="116"/>
    </row>
    <row r="322" spans="1:17" s="106" customFormat="1" ht="31.5" x14ac:dyDescent="0.25">
      <c r="A322" s="200" t="s">
        <v>328</v>
      </c>
      <c r="B322" s="151" t="s">
        <v>48</v>
      </c>
      <c r="C322" s="142" t="s">
        <v>22</v>
      </c>
      <c r="D322" s="568" t="s">
        <v>357</v>
      </c>
      <c r="E322" s="220"/>
      <c r="F322" s="123">
        <f>F323</f>
        <v>20005</v>
      </c>
      <c r="G322" s="227"/>
      <c r="H322" s="123">
        <f>H323</f>
        <v>20005</v>
      </c>
      <c r="I322" s="227"/>
      <c r="J322" s="313">
        <f>J323</f>
        <v>20005</v>
      </c>
      <c r="K322" s="511">
        <f t="shared" si="57"/>
        <v>1</v>
      </c>
      <c r="L322" s="227"/>
      <c r="M322" s="511"/>
      <c r="N322" s="116"/>
      <c r="P322" s="116"/>
      <c r="Q322" s="116"/>
    </row>
    <row r="323" spans="1:17" s="106" customFormat="1" ht="31.5" x14ac:dyDescent="0.25">
      <c r="A323" s="268" t="s">
        <v>61</v>
      </c>
      <c r="B323" s="151" t="s">
        <v>48</v>
      </c>
      <c r="C323" s="142" t="s">
        <v>22</v>
      </c>
      <c r="D323" s="568" t="s">
        <v>357</v>
      </c>
      <c r="E323" s="220">
        <v>600</v>
      </c>
      <c r="F323" s="123">
        <f>F324</f>
        <v>20005</v>
      </c>
      <c r="G323" s="227"/>
      <c r="H323" s="123">
        <f>H324</f>
        <v>20005</v>
      </c>
      <c r="I323" s="227"/>
      <c r="J323" s="313">
        <f>J324</f>
        <v>20005</v>
      </c>
      <c r="K323" s="511">
        <f t="shared" si="57"/>
        <v>1</v>
      </c>
      <c r="L323" s="227"/>
      <c r="M323" s="511"/>
      <c r="N323" s="116"/>
      <c r="P323" s="116"/>
      <c r="Q323" s="116"/>
    </row>
    <row r="324" spans="1:17" s="106" customFormat="1" x14ac:dyDescent="0.25">
      <c r="A324" s="268" t="s">
        <v>62</v>
      </c>
      <c r="B324" s="151" t="s">
        <v>48</v>
      </c>
      <c r="C324" s="142" t="s">
        <v>22</v>
      </c>
      <c r="D324" s="568" t="s">
        <v>357</v>
      </c>
      <c r="E324" s="220">
        <v>610</v>
      </c>
      <c r="F324" s="123">
        <f>'ведом. 2024-2026'!AD225</f>
        <v>20005</v>
      </c>
      <c r="G324" s="227"/>
      <c r="H324" s="123">
        <f>'ведом. 2024-2026'!AD225</f>
        <v>20005</v>
      </c>
      <c r="I324" s="227"/>
      <c r="J324" s="313">
        <f>'ведом. 2024-2026'!AF225</f>
        <v>20005</v>
      </c>
      <c r="K324" s="511">
        <f t="shared" si="57"/>
        <v>1</v>
      </c>
      <c r="L324" s="227"/>
      <c r="M324" s="511"/>
      <c r="N324" s="116"/>
      <c r="P324" s="116"/>
      <c r="Q324" s="116"/>
    </row>
    <row r="325" spans="1:17" s="106" customFormat="1" x14ac:dyDescent="0.25">
      <c r="A325" s="202" t="s">
        <v>249</v>
      </c>
      <c r="B325" s="151" t="s">
        <v>48</v>
      </c>
      <c r="C325" s="142" t="s">
        <v>22</v>
      </c>
      <c r="D325" s="568" t="s">
        <v>250</v>
      </c>
      <c r="E325" s="220"/>
      <c r="F325" s="123">
        <f>F326</f>
        <v>43132</v>
      </c>
      <c r="G325" s="227"/>
      <c r="H325" s="123">
        <f>H326</f>
        <v>43132</v>
      </c>
      <c r="I325" s="227"/>
      <c r="J325" s="313">
        <f>J326</f>
        <v>42430.7</v>
      </c>
      <c r="K325" s="511">
        <f t="shared" si="57"/>
        <v>0.98374061021979031</v>
      </c>
      <c r="L325" s="227"/>
      <c r="M325" s="511"/>
      <c r="N325" s="116"/>
      <c r="P325" s="116"/>
      <c r="Q325" s="116"/>
    </row>
    <row r="326" spans="1:17" s="106" customFormat="1" ht="31.5" x14ac:dyDescent="0.25">
      <c r="A326" s="202" t="s">
        <v>579</v>
      </c>
      <c r="B326" s="151" t="s">
        <v>48</v>
      </c>
      <c r="C326" s="142" t="s">
        <v>22</v>
      </c>
      <c r="D326" s="568" t="s">
        <v>251</v>
      </c>
      <c r="E326" s="223"/>
      <c r="F326" s="123">
        <f>F327+F331</f>
        <v>43132</v>
      </c>
      <c r="G326" s="227"/>
      <c r="H326" s="123">
        <f>H327+H331</f>
        <v>43132</v>
      </c>
      <c r="I326" s="227"/>
      <c r="J326" s="313">
        <f>J327+J331</f>
        <v>42430.7</v>
      </c>
      <c r="K326" s="511">
        <f t="shared" si="57"/>
        <v>0.98374061021979031</v>
      </c>
      <c r="L326" s="227"/>
      <c r="M326" s="511"/>
      <c r="N326" s="116"/>
      <c r="P326" s="116"/>
      <c r="Q326" s="116"/>
    </row>
    <row r="327" spans="1:17" s="106" customFormat="1" ht="31.5" x14ac:dyDescent="0.25">
      <c r="A327" s="201" t="s">
        <v>580</v>
      </c>
      <c r="B327" s="151" t="s">
        <v>48</v>
      </c>
      <c r="C327" s="142" t="s">
        <v>22</v>
      </c>
      <c r="D327" s="568" t="s">
        <v>252</v>
      </c>
      <c r="E327" s="220"/>
      <c r="F327" s="123">
        <f>F329</f>
        <v>10982.6</v>
      </c>
      <c r="G327" s="123"/>
      <c r="H327" s="123">
        <f>H329</f>
        <v>10982.6</v>
      </c>
      <c r="I327" s="123"/>
      <c r="J327" s="313">
        <f>J329</f>
        <v>10982.6</v>
      </c>
      <c r="K327" s="511">
        <f t="shared" si="57"/>
        <v>1</v>
      </c>
      <c r="L327" s="227"/>
      <c r="M327" s="511"/>
      <c r="N327" s="116"/>
      <c r="P327" s="116"/>
      <c r="Q327" s="116"/>
    </row>
    <row r="328" spans="1:17" s="106" customFormat="1" x14ac:dyDescent="0.25">
      <c r="A328" s="197" t="s">
        <v>472</v>
      </c>
      <c r="B328" s="151" t="s">
        <v>48</v>
      </c>
      <c r="C328" s="142" t="s">
        <v>22</v>
      </c>
      <c r="D328" s="211" t="s">
        <v>673</v>
      </c>
      <c r="E328" s="223"/>
      <c r="F328" s="123">
        <f>F329</f>
        <v>10982.6</v>
      </c>
      <c r="G328" s="227"/>
      <c r="H328" s="123">
        <f>H329</f>
        <v>10982.6</v>
      </c>
      <c r="I328" s="227"/>
      <c r="J328" s="313">
        <f>J329</f>
        <v>10982.6</v>
      </c>
      <c r="K328" s="511">
        <f t="shared" si="57"/>
        <v>1</v>
      </c>
      <c r="L328" s="227"/>
      <c r="M328" s="511"/>
      <c r="N328" s="116"/>
      <c r="P328" s="116"/>
      <c r="Q328" s="116"/>
    </row>
    <row r="329" spans="1:17" s="106" customFormat="1" x14ac:dyDescent="0.25">
      <c r="A329" s="197" t="s">
        <v>121</v>
      </c>
      <c r="B329" s="151" t="s">
        <v>48</v>
      </c>
      <c r="C329" s="142" t="s">
        <v>22</v>
      </c>
      <c r="D329" s="211" t="s">
        <v>673</v>
      </c>
      <c r="E329" s="223" t="s">
        <v>37</v>
      </c>
      <c r="F329" s="123">
        <f>F330</f>
        <v>10982.6</v>
      </c>
      <c r="G329" s="227"/>
      <c r="H329" s="123">
        <f>H330</f>
        <v>10982.6</v>
      </c>
      <c r="I329" s="227"/>
      <c r="J329" s="313">
        <f>J330</f>
        <v>10982.6</v>
      </c>
      <c r="K329" s="511">
        <f t="shared" si="57"/>
        <v>1</v>
      </c>
      <c r="L329" s="227"/>
      <c r="M329" s="511"/>
      <c r="N329" s="116"/>
      <c r="P329" s="116"/>
      <c r="Q329" s="116"/>
    </row>
    <row r="330" spans="1:17" s="106" customFormat="1" ht="31.5" x14ac:dyDescent="0.25">
      <c r="A330" s="197" t="s">
        <v>52</v>
      </c>
      <c r="B330" s="151" t="s">
        <v>48</v>
      </c>
      <c r="C330" s="142" t="s">
        <v>22</v>
      </c>
      <c r="D330" s="211" t="s">
        <v>673</v>
      </c>
      <c r="E330" s="223" t="s">
        <v>66</v>
      </c>
      <c r="F330" s="123">
        <f>'ведом. 2024-2026'!AD866</f>
        <v>10982.6</v>
      </c>
      <c r="G330" s="227"/>
      <c r="H330" s="123">
        <f>'ведом. 2024-2026'!AD866</f>
        <v>10982.6</v>
      </c>
      <c r="I330" s="227"/>
      <c r="J330" s="313">
        <f>'ведом. 2024-2026'!AF866</f>
        <v>10982.6</v>
      </c>
      <c r="K330" s="511">
        <f t="shared" si="57"/>
        <v>1</v>
      </c>
      <c r="L330" s="227"/>
      <c r="M330" s="511"/>
      <c r="N330" s="116"/>
      <c r="P330" s="116"/>
      <c r="Q330" s="116"/>
    </row>
    <row r="331" spans="1:17" s="106" customFormat="1" x14ac:dyDescent="0.25">
      <c r="A331" s="201" t="s">
        <v>391</v>
      </c>
      <c r="B331" s="151" t="s">
        <v>48</v>
      </c>
      <c r="C331" s="142" t="s">
        <v>22</v>
      </c>
      <c r="D331" s="576" t="s">
        <v>456</v>
      </c>
      <c r="E331" s="220"/>
      <c r="F331" s="123">
        <f>F332</f>
        <v>32149.4</v>
      </c>
      <c r="G331" s="227"/>
      <c r="H331" s="123">
        <f>H332</f>
        <v>32149.4</v>
      </c>
      <c r="I331" s="227"/>
      <c r="J331" s="313">
        <f>J332</f>
        <v>31448.1</v>
      </c>
      <c r="K331" s="511">
        <f t="shared" si="57"/>
        <v>0.97818621809427231</v>
      </c>
      <c r="L331" s="227"/>
      <c r="M331" s="511"/>
      <c r="N331" s="116"/>
      <c r="P331" s="116"/>
      <c r="Q331" s="116"/>
    </row>
    <row r="332" spans="1:17" s="106" customFormat="1" x14ac:dyDescent="0.25">
      <c r="A332" s="197" t="s">
        <v>420</v>
      </c>
      <c r="B332" s="151" t="s">
        <v>48</v>
      </c>
      <c r="C332" s="142" t="s">
        <v>22</v>
      </c>
      <c r="D332" s="577" t="s">
        <v>675</v>
      </c>
      <c r="E332" s="220"/>
      <c r="F332" s="123">
        <f>F333</f>
        <v>32149.4</v>
      </c>
      <c r="G332" s="227"/>
      <c r="H332" s="123">
        <f>H333</f>
        <v>32149.4</v>
      </c>
      <c r="I332" s="227"/>
      <c r="J332" s="313">
        <f>J333</f>
        <v>31448.1</v>
      </c>
      <c r="K332" s="511">
        <f t="shared" ref="K332:K395" si="71">J332/H332</f>
        <v>0.97818621809427231</v>
      </c>
      <c r="L332" s="227"/>
      <c r="M332" s="511"/>
      <c r="N332" s="116"/>
      <c r="P332" s="116"/>
      <c r="Q332" s="116"/>
    </row>
    <row r="333" spans="1:17" s="106" customFormat="1" x14ac:dyDescent="0.25">
      <c r="A333" s="197" t="s">
        <v>121</v>
      </c>
      <c r="B333" s="151" t="s">
        <v>48</v>
      </c>
      <c r="C333" s="142" t="s">
        <v>22</v>
      </c>
      <c r="D333" s="577" t="s">
        <v>675</v>
      </c>
      <c r="E333" s="220">
        <v>200</v>
      </c>
      <c r="F333" s="123">
        <f>F334</f>
        <v>32149.4</v>
      </c>
      <c r="G333" s="227"/>
      <c r="H333" s="123">
        <f>H334</f>
        <v>32149.4</v>
      </c>
      <c r="I333" s="227"/>
      <c r="J333" s="313">
        <f>J334</f>
        <v>31448.1</v>
      </c>
      <c r="K333" s="511">
        <f t="shared" si="71"/>
        <v>0.97818621809427231</v>
      </c>
      <c r="L333" s="227"/>
      <c r="M333" s="511"/>
      <c r="N333" s="116"/>
      <c r="P333" s="116"/>
      <c r="Q333" s="116"/>
    </row>
    <row r="334" spans="1:17" s="106" customFormat="1" ht="23.25" customHeight="1" x14ac:dyDescent="0.25">
      <c r="A334" s="197" t="s">
        <v>52</v>
      </c>
      <c r="B334" s="151" t="s">
        <v>48</v>
      </c>
      <c r="C334" s="142" t="s">
        <v>22</v>
      </c>
      <c r="D334" s="577" t="s">
        <v>675</v>
      </c>
      <c r="E334" s="220">
        <v>240</v>
      </c>
      <c r="F334" s="123">
        <f>'ведом. 2024-2026'!AD870</f>
        <v>32149.4</v>
      </c>
      <c r="G334" s="227"/>
      <c r="H334" s="123">
        <f>'ведом. 2024-2026'!AD870</f>
        <v>32149.4</v>
      </c>
      <c r="I334" s="227"/>
      <c r="J334" s="313">
        <f>'ведом. 2024-2026'!AF870</f>
        <v>31448.1</v>
      </c>
      <c r="K334" s="511">
        <f t="shared" si="71"/>
        <v>0.97818621809427231</v>
      </c>
      <c r="L334" s="227"/>
      <c r="M334" s="511"/>
      <c r="N334" s="116"/>
      <c r="P334" s="116"/>
      <c r="Q334" s="116"/>
    </row>
    <row r="335" spans="1:17" s="106" customFormat="1" x14ac:dyDescent="0.25">
      <c r="A335" s="280" t="s">
        <v>32</v>
      </c>
      <c r="B335" s="148" t="s">
        <v>48</v>
      </c>
      <c r="C335" s="4">
        <v>10</v>
      </c>
      <c r="D335" s="575"/>
      <c r="E335" s="220"/>
      <c r="F335" s="123">
        <f>F336</f>
        <v>5234.0999999999995</v>
      </c>
      <c r="G335" s="227"/>
      <c r="H335" s="123">
        <f>H336</f>
        <v>5234.0999999999995</v>
      </c>
      <c r="I335" s="227"/>
      <c r="J335" s="313">
        <f>J336</f>
        <v>5005.0999999999995</v>
      </c>
      <c r="K335" s="511">
        <f t="shared" si="71"/>
        <v>0.95624844767963924</v>
      </c>
      <c r="L335" s="227"/>
      <c r="M335" s="511"/>
      <c r="N335" s="116"/>
      <c r="P335" s="116"/>
      <c r="Q335" s="116"/>
    </row>
    <row r="336" spans="1:17" s="106" customFormat="1" x14ac:dyDescent="0.25">
      <c r="A336" s="199" t="s">
        <v>238</v>
      </c>
      <c r="B336" s="11" t="s">
        <v>48</v>
      </c>
      <c r="C336" s="146">
        <v>10</v>
      </c>
      <c r="D336" s="568" t="s">
        <v>239</v>
      </c>
      <c r="E336" s="220"/>
      <c r="F336" s="123">
        <f>F337</f>
        <v>5234.0999999999995</v>
      </c>
      <c r="G336" s="227"/>
      <c r="H336" s="123">
        <f>H337</f>
        <v>5234.0999999999995</v>
      </c>
      <c r="I336" s="227"/>
      <c r="J336" s="313">
        <f>J337</f>
        <v>5005.0999999999995</v>
      </c>
      <c r="K336" s="511">
        <f t="shared" si="71"/>
        <v>0.95624844767963924</v>
      </c>
      <c r="L336" s="227"/>
      <c r="M336" s="511"/>
      <c r="N336" s="116"/>
      <c r="P336" s="116"/>
      <c r="Q336" s="116"/>
    </row>
    <row r="337" spans="1:17" s="106" customFormat="1" ht="31.5" x14ac:dyDescent="0.25">
      <c r="A337" s="199" t="s">
        <v>243</v>
      </c>
      <c r="B337" s="11" t="s">
        <v>48</v>
      </c>
      <c r="C337" s="146">
        <v>10</v>
      </c>
      <c r="D337" s="568" t="s">
        <v>244</v>
      </c>
      <c r="E337" s="596"/>
      <c r="F337" s="123">
        <f>F338+F346+F342</f>
        <v>5234.0999999999995</v>
      </c>
      <c r="G337" s="227"/>
      <c r="H337" s="123">
        <f>H338+H346+H342</f>
        <v>5234.0999999999995</v>
      </c>
      <c r="I337" s="227"/>
      <c r="J337" s="313">
        <f>J338+J346+J342</f>
        <v>5005.0999999999995</v>
      </c>
      <c r="K337" s="511">
        <f t="shared" si="71"/>
        <v>0.95624844767963924</v>
      </c>
      <c r="L337" s="227"/>
      <c r="M337" s="511"/>
      <c r="N337" s="116"/>
      <c r="P337" s="116"/>
      <c r="Q337" s="116"/>
    </row>
    <row r="338" spans="1:17" s="106" customFormat="1" x14ac:dyDescent="0.25">
      <c r="A338" s="202" t="s">
        <v>393</v>
      </c>
      <c r="B338" s="11" t="s">
        <v>48</v>
      </c>
      <c r="C338" s="146">
        <v>10</v>
      </c>
      <c r="D338" s="568" t="s">
        <v>394</v>
      </c>
      <c r="E338" s="596"/>
      <c r="F338" s="123">
        <f>F339</f>
        <v>4811.2</v>
      </c>
      <c r="G338" s="227"/>
      <c r="H338" s="123">
        <f>H339</f>
        <v>4811.2</v>
      </c>
      <c r="I338" s="227"/>
      <c r="J338" s="313">
        <f>J339</f>
        <v>4616</v>
      </c>
      <c r="K338" s="511">
        <f t="shared" si="71"/>
        <v>0.95942800133022954</v>
      </c>
      <c r="L338" s="227"/>
      <c r="M338" s="511"/>
      <c r="N338" s="116"/>
      <c r="P338" s="116"/>
      <c r="Q338" s="116"/>
    </row>
    <row r="339" spans="1:17" s="106" customFormat="1" x14ac:dyDescent="0.25">
      <c r="A339" s="201" t="s">
        <v>395</v>
      </c>
      <c r="B339" s="11" t="s">
        <v>48</v>
      </c>
      <c r="C339" s="146">
        <v>10</v>
      </c>
      <c r="D339" s="568" t="s">
        <v>396</v>
      </c>
      <c r="E339" s="597"/>
      <c r="F339" s="123">
        <f>F340</f>
        <v>4811.2</v>
      </c>
      <c r="G339" s="227"/>
      <c r="H339" s="123">
        <f>H340</f>
        <v>4811.2</v>
      </c>
      <c r="I339" s="227"/>
      <c r="J339" s="313">
        <f>J340</f>
        <v>4616</v>
      </c>
      <c r="K339" s="511">
        <f t="shared" si="71"/>
        <v>0.95942800133022954</v>
      </c>
      <c r="L339" s="227"/>
      <c r="M339" s="511"/>
      <c r="N339" s="116"/>
      <c r="P339" s="116"/>
      <c r="Q339" s="116"/>
    </row>
    <row r="340" spans="1:17" s="106" customFormat="1" x14ac:dyDescent="0.25">
      <c r="A340" s="197" t="s">
        <v>121</v>
      </c>
      <c r="B340" s="11" t="s">
        <v>48</v>
      </c>
      <c r="C340" s="146">
        <v>10</v>
      </c>
      <c r="D340" s="568" t="s">
        <v>396</v>
      </c>
      <c r="E340" s="220">
        <v>200</v>
      </c>
      <c r="F340" s="123">
        <f>F341</f>
        <v>4811.2</v>
      </c>
      <c r="G340" s="227"/>
      <c r="H340" s="123">
        <f>H341</f>
        <v>4811.2</v>
      </c>
      <c r="I340" s="227"/>
      <c r="J340" s="313">
        <f>J341</f>
        <v>4616</v>
      </c>
      <c r="K340" s="511">
        <f t="shared" si="71"/>
        <v>0.95942800133022954</v>
      </c>
      <c r="L340" s="227"/>
      <c r="M340" s="511"/>
      <c r="N340" s="116"/>
      <c r="P340" s="116"/>
      <c r="Q340" s="116"/>
    </row>
    <row r="341" spans="1:17" s="106" customFormat="1" ht="31.5" x14ac:dyDescent="0.25">
      <c r="A341" s="197" t="s">
        <v>52</v>
      </c>
      <c r="B341" s="11" t="s">
        <v>48</v>
      </c>
      <c r="C341" s="146">
        <v>10</v>
      </c>
      <c r="D341" s="568" t="s">
        <v>396</v>
      </c>
      <c r="E341" s="220">
        <v>240</v>
      </c>
      <c r="F341" s="123">
        <f>'ведом. 2024-2026'!AD232</f>
        <v>4811.2</v>
      </c>
      <c r="G341" s="227"/>
      <c r="H341" s="123">
        <f>'ведом. 2024-2026'!AD232</f>
        <v>4811.2</v>
      </c>
      <c r="I341" s="227"/>
      <c r="J341" s="313">
        <f>'ведом. 2024-2026'!AF232</f>
        <v>4616</v>
      </c>
      <c r="K341" s="511">
        <f t="shared" si="71"/>
        <v>0.95942800133022954</v>
      </c>
      <c r="L341" s="227"/>
      <c r="M341" s="511"/>
      <c r="N341" s="116"/>
      <c r="P341" s="116"/>
      <c r="Q341" s="116"/>
    </row>
    <row r="342" spans="1:17" s="106" customFormat="1" x14ac:dyDescent="0.25">
      <c r="A342" s="202" t="s">
        <v>414</v>
      </c>
      <c r="B342" s="11" t="s">
        <v>48</v>
      </c>
      <c r="C342" s="146">
        <v>10</v>
      </c>
      <c r="D342" s="568" t="s">
        <v>415</v>
      </c>
      <c r="E342" s="220"/>
      <c r="F342" s="123">
        <f>F343</f>
        <v>125.9</v>
      </c>
      <c r="G342" s="227"/>
      <c r="H342" s="123">
        <f>H343</f>
        <v>125.9</v>
      </c>
      <c r="I342" s="227"/>
      <c r="J342" s="313">
        <f>J343</f>
        <v>116.9</v>
      </c>
      <c r="K342" s="511">
        <f t="shared" si="71"/>
        <v>0.92851469420174737</v>
      </c>
      <c r="L342" s="227"/>
      <c r="M342" s="511"/>
      <c r="N342" s="116"/>
      <c r="P342" s="116"/>
      <c r="Q342" s="116"/>
    </row>
    <row r="343" spans="1:17" s="106" customFormat="1" x14ac:dyDescent="0.25">
      <c r="A343" s="201" t="s">
        <v>416</v>
      </c>
      <c r="B343" s="11" t="s">
        <v>48</v>
      </c>
      <c r="C343" s="146">
        <v>10</v>
      </c>
      <c r="D343" s="568" t="s">
        <v>417</v>
      </c>
      <c r="E343" s="220"/>
      <c r="F343" s="123">
        <f>F344</f>
        <v>125.9</v>
      </c>
      <c r="G343" s="227"/>
      <c r="H343" s="123">
        <f>H344</f>
        <v>125.9</v>
      </c>
      <c r="I343" s="227"/>
      <c r="J343" s="313">
        <f>J344</f>
        <v>116.9</v>
      </c>
      <c r="K343" s="511">
        <f t="shared" si="71"/>
        <v>0.92851469420174737</v>
      </c>
      <c r="L343" s="227"/>
      <c r="M343" s="511"/>
      <c r="N343" s="116"/>
      <c r="P343" s="116"/>
      <c r="Q343" s="116"/>
    </row>
    <row r="344" spans="1:17" s="106" customFormat="1" x14ac:dyDescent="0.25">
      <c r="A344" s="197" t="s">
        <v>121</v>
      </c>
      <c r="B344" s="11" t="s">
        <v>48</v>
      </c>
      <c r="C344" s="146">
        <v>10</v>
      </c>
      <c r="D344" s="568" t="s">
        <v>417</v>
      </c>
      <c r="E344" s="220">
        <v>200</v>
      </c>
      <c r="F344" s="123">
        <f>F345</f>
        <v>125.9</v>
      </c>
      <c r="G344" s="227"/>
      <c r="H344" s="123">
        <f>H345</f>
        <v>125.9</v>
      </c>
      <c r="I344" s="227"/>
      <c r="J344" s="313">
        <f>J345</f>
        <v>116.9</v>
      </c>
      <c r="K344" s="511">
        <f t="shared" si="71"/>
        <v>0.92851469420174737</v>
      </c>
      <c r="L344" s="227"/>
      <c r="M344" s="511"/>
      <c r="N344" s="116"/>
      <c r="P344" s="116"/>
      <c r="Q344" s="116"/>
    </row>
    <row r="345" spans="1:17" s="106" customFormat="1" ht="31.5" x14ac:dyDescent="0.25">
      <c r="A345" s="197" t="s">
        <v>52</v>
      </c>
      <c r="B345" s="11" t="s">
        <v>48</v>
      </c>
      <c r="C345" s="146">
        <v>10</v>
      </c>
      <c r="D345" s="568" t="s">
        <v>417</v>
      </c>
      <c r="E345" s="220">
        <v>240</v>
      </c>
      <c r="F345" s="123">
        <f>'ведом. 2024-2026'!AD236</f>
        <v>125.9</v>
      </c>
      <c r="G345" s="227"/>
      <c r="H345" s="123">
        <f>'ведом. 2024-2026'!AD236</f>
        <v>125.9</v>
      </c>
      <c r="I345" s="227"/>
      <c r="J345" s="313">
        <f>'ведом. 2024-2026'!AF236</f>
        <v>116.9</v>
      </c>
      <c r="K345" s="511">
        <f t="shared" si="71"/>
        <v>0.92851469420174737</v>
      </c>
      <c r="L345" s="227"/>
      <c r="M345" s="511"/>
      <c r="N345" s="116"/>
      <c r="P345" s="116"/>
      <c r="Q345" s="116"/>
    </row>
    <row r="346" spans="1:17" s="106" customFormat="1" x14ac:dyDescent="0.25">
      <c r="A346" s="202" t="s">
        <v>397</v>
      </c>
      <c r="B346" s="11" t="s">
        <v>48</v>
      </c>
      <c r="C346" s="146">
        <v>10</v>
      </c>
      <c r="D346" s="568" t="s">
        <v>398</v>
      </c>
      <c r="E346" s="220"/>
      <c r="F346" s="123">
        <f>F347</f>
        <v>297</v>
      </c>
      <c r="G346" s="227"/>
      <c r="H346" s="123">
        <f>H347</f>
        <v>297</v>
      </c>
      <c r="I346" s="227"/>
      <c r="J346" s="313">
        <f>J347</f>
        <v>272.2</v>
      </c>
      <c r="K346" s="511">
        <f t="shared" si="71"/>
        <v>0.91649831649831648</v>
      </c>
      <c r="L346" s="227"/>
      <c r="M346" s="511"/>
      <c r="N346" s="116"/>
      <c r="P346" s="116"/>
      <c r="Q346" s="116"/>
    </row>
    <row r="347" spans="1:17" s="106" customFormat="1" x14ac:dyDescent="0.25">
      <c r="A347" s="201" t="s">
        <v>399</v>
      </c>
      <c r="B347" s="11" t="s">
        <v>48</v>
      </c>
      <c r="C347" s="146">
        <v>10</v>
      </c>
      <c r="D347" s="568" t="s">
        <v>400</v>
      </c>
      <c r="E347" s="220"/>
      <c r="F347" s="123">
        <f>F348</f>
        <v>297</v>
      </c>
      <c r="G347" s="227"/>
      <c r="H347" s="123">
        <f>H348</f>
        <v>297</v>
      </c>
      <c r="I347" s="227"/>
      <c r="J347" s="313">
        <f>J348</f>
        <v>272.2</v>
      </c>
      <c r="K347" s="511">
        <f t="shared" si="71"/>
        <v>0.91649831649831648</v>
      </c>
      <c r="L347" s="227"/>
      <c r="M347" s="511"/>
      <c r="N347" s="116"/>
      <c r="P347" s="116"/>
      <c r="Q347" s="116"/>
    </row>
    <row r="348" spans="1:17" s="106" customFormat="1" x14ac:dyDescent="0.25">
      <c r="A348" s="197" t="s">
        <v>121</v>
      </c>
      <c r="B348" s="11" t="s">
        <v>48</v>
      </c>
      <c r="C348" s="146">
        <v>10</v>
      </c>
      <c r="D348" s="568" t="s">
        <v>400</v>
      </c>
      <c r="E348" s="220">
        <v>200</v>
      </c>
      <c r="F348" s="123">
        <f>F349</f>
        <v>297</v>
      </c>
      <c r="G348" s="227"/>
      <c r="H348" s="123">
        <f>H349</f>
        <v>297</v>
      </c>
      <c r="I348" s="227"/>
      <c r="J348" s="313">
        <f>J349</f>
        <v>272.2</v>
      </c>
      <c r="K348" s="511">
        <f t="shared" si="71"/>
        <v>0.91649831649831648</v>
      </c>
      <c r="L348" s="227"/>
      <c r="M348" s="511"/>
      <c r="N348" s="116"/>
      <c r="P348" s="116"/>
      <c r="Q348" s="116"/>
    </row>
    <row r="349" spans="1:17" s="106" customFormat="1" ht="31.5" x14ac:dyDescent="0.25">
      <c r="A349" s="197" t="s">
        <v>52</v>
      </c>
      <c r="B349" s="11" t="s">
        <v>48</v>
      </c>
      <c r="C349" s="146">
        <v>10</v>
      </c>
      <c r="D349" s="568" t="s">
        <v>400</v>
      </c>
      <c r="E349" s="220">
        <v>240</v>
      </c>
      <c r="F349" s="123">
        <f>'ведом. 2024-2026'!AD240</f>
        <v>297</v>
      </c>
      <c r="G349" s="227"/>
      <c r="H349" s="123">
        <f>'ведом. 2024-2026'!AD240</f>
        <v>297</v>
      </c>
      <c r="I349" s="227"/>
      <c r="J349" s="313">
        <f>'ведом. 2024-2026'!AF240</f>
        <v>272.2</v>
      </c>
      <c r="K349" s="511">
        <f t="shared" si="71"/>
        <v>0.91649831649831648</v>
      </c>
      <c r="L349" s="227"/>
      <c r="M349" s="511"/>
      <c r="N349" s="116"/>
      <c r="P349" s="116"/>
      <c r="Q349" s="116"/>
    </row>
    <row r="350" spans="1:17" s="106" customFormat="1" x14ac:dyDescent="0.25">
      <c r="A350" s="268" t="s">
        <v>51</v>
      </c>
      <c r="B350" s="148" t="s">
        <v>48</v>
      </c>
      <c r="C350" s="4">
        <v>12</v>
      </c>
      <c r="D350" s="458"/>
      <c r="E350" s="221"/>
      <c r="F350" s="123">
        <f>F351+F360</f>
        <v>1422.9</v>
      </c>
      <c r="G350" s="123">
        <f t="shared" ref="G350:L350" si="72">G351+G360</f>
        <v>347</v>
      </c>
      <c r="H350" s="123">
        <f>H351+H360</f>
        <v>1422.9</v>
      </c>
      <c r="I350" s="123">
        <f t="shared" ref="I350" si="73">I351+I360</f>
        <v>347</v>
      </c>
      <c r="J350" s="313">
        <f t="shared" si="72"/>
        <v>811.3</v>
      </c>
      <c r="K350" s="511">
        <f t="shared" si="71"/>
        <v>0.57017358914892113</v>
      </c>
      <c r="L350" s="227">
        <f t="shared" si="72"/>
        <v>272.3</v>
      </c>
      <c r="M350" s="511">
        <f t="shared" ref="M350:M395" si="74">L350/I350</f>
        <v>0.78472622478386167</v>
      </c>
      <c r="N350" s="116"/>
      <c r="P350" s="116"/>
      <c r="Q350" s="116"/>
    </row>
    <row r="351" spans="1:17" s="106" customFormat="1" ht="31.5" x14ac:dyDescent="0.25">
      <c r="A351" s="199" t="s">
        <v>163</v>
      </c>
      <c r="B351" s="148" t="s">
        <v>48</v>
      </c>
      <c r="C351" s="4">
        <v>12</v>
      </c>
      <c r="D351" s="458" t="s">
        <v>103</v>
      </c>
      <c r="E351" s="220"/>
      <c r="F351" s="123">
        <f t="shared" ref="F351:L352" si="75">F352</f>
        <v>922.90000000000009</v>
      </c>
      <c r="G351" s="227">
        <f t="shared" si="75"/>
        <v>347</v>
      </c>
      <c r="H351" s="123">
        <f t="shared" si="75"/>
        <v>922.90000000000009</v>
      </c>
      <c r="I351" s="227">
        <f t="shared" si="75"/>
        <v>347</v>
      </c>
      <c r="J351" s="313">
        <f t="shared" si="75"/>
        <v>311.3</v>
      </c>
      <c r="K351" s="511">
        <f t="shared" si="71"/>
        <v>0.33730631704410008</v>
      </c>
      <c r="L351" s="227">
        <f t="shared" si="75"/>
        <v>272.3</v>
      </c>
      <c r="M351" s="511">
        <f t="shared" si="74"/>
        <v>0.78472622478386167</v>
      </c>
      <c r="N351" s="116"/>
      <c r="P351" s="116"/>
      <c r="Q351" s="116"/>
    </row>
    <row r="352" spans="1:17" s="106" customFormat="1" x14ac:dyDescent="0.25">
      <c r="A352" s="199" t="s">
        <v>164</v>
      </c>
      <c r="B352" s="148" t="s">
        <v>48</v>
      </c>
      <c r="C352" s="4">
        <v>12</v>
      </c>
      <c r="D352" s="458" t="s">
        <v>107</v>
      </c>
      <c r="E352" s="220"/>
      <c r="F352" s="123">
        <f t="shared" si="75"/>
        <v>922.90000000000009</v>
      </c>
      <c r="G352" s="227">
        <f t="shared" si="75"/>
        <v>347</v>
      </c>
      <c r="H352" s="123">
        <f t="shared" si="75"/>
        <v>922.90000000000009</v>
      </c>
      <c r="I352" s="227">
        <f t="shared" si="75"/>
        <v>347</v>
      </c>
      <c r="J352" s="313">
        <f t="shared" si="75"/>
        <v>311.3</v>
      </c>
      <c r="K352" s="511">
        <f t="shared" si="71"/>
        <v>0.33730631704410008</v>
      </c>
      <c r="L352" s="227">
        <f t="shared" si="75"/>
        <v>272.3</v>
      </c>
      <c r="M352" s="511">
        <f t="shared" si="74"/>
        <v>0.78472622478386167</v>
      </c>
      <c r="N352" s="116"/>
      <c r="P352" s="116"/>
      <c r="Q352" s="116"/>
    </row>
    <row r="353" spans="1:17" s="106" customFormat="1" x14ac:dyDescent="0.25">
      <c r="A353" s="215" t="s">
        <v>566</v>
      </c>
      <c r="B353" s="148" t="s">
        <v>48</v>
      </c>
      <c r="C353" s="4">
        <v>12</v>
      </c>
      <c r="D353" s="458" t="s">
        <v>348</v>
      </c>
      <c r="E353" s="223"/>
      <c r="F353" s="123">
        <f t="shared" ref="F353:L353" si="76">F354+F357</f>
        <v>922.90000000000009</v>
      </c>
      <c r="G353" s="227">
        <f t="shared" si="76"/>
        <v>347</v>
      </c>
      <c r="H353" s="123">
        <f t="shared" ref="H353:I353" si="77">H354+H357</f>
        <v>922.90000000000009</v>
      </c>
      <c r="I353" s="227">
        <f t="shared" si="77"/>
        <v>347</v>
      </c>
      <c r="J353" s="313">
        <f t="shared" si="76"/>
        <v>311.3</v>
      </c>
      <c r="K353" s="511">
        <f t="shared" si="71"/>
        <v>0.33730631704410008</v>
      </c>
      <c r="L353" s="227">
        <f t="shared" si="76"/>
        <v>272.3</v>
      </c>
      <c r="M353" s="511">
        <f t="shared" si="74"/>
        <v>0.78472622478386167</v>
      </c>
      <c r="N353" s="116"/>
      <c r="P353" s="116"/>
      <c r="Q353" s="116"/>
    </row>
    <row r="354" spans="1:17" s="106" customFormat="1" x14ac:dyDescent="0.25">
      <c r="A354" s="200" t="s">
        <v>253</v>
      </c>
      <c r="B354" s="148" t="s">
        <v>48</v>
      </c>
      <c r="C354" s="4">
        <v>12</v>
      </c>
      <c r="D354" s="568" t="s">
        <v>347</v>
      </c>
      <c r="E354" s="221"/>
      <c r="F354" s="123">
        <f>F355</f>
        <v>575.90000000000009</v>
      </c>
      <c r="G354" s="227"/>
      <c r="H354" s="123">
        <f>H355</f>
        <v>575.90000000000009</v>
      </c>
      <c r="I354" s="227"/>
      <c r="J354" s="313">
        <f>J355</f>
        <v>39</v>
      </c>
      <c r="K354" s="511">
        <f t="shared" si="71"/>
        <v>6.7720090293453716E-2</v>
      </c>
      <c r="L354" s="227"/>
      <c r="M354" s="511"/>
      <c r="N354" s="116"/>
      <c r="P354" s="116"/>
      <c r="Q354" s="116"/>
    </row>
    <row r="355" spans="1:17" s="106" customFormat="1" x14ac:dyDescent="0.25">
      <c r="A355" s="268" t="s">
        <v>121</v>
      </c>
      <c r="B355" s="148" t="s">
        <v>48</v>
      </c>
      <c r="C355" s="4">
        <v>12</v>
      </c>
      <c r="D355" s="568" t="s">
        <v>347</v>
      </c>
      <c r="E355" s="220">
        <v>200</v>
      </c>
      <c r="F355" s="123">
        <f>F356</f>
        <v>575.90000000000009</v>
      </c>
      <c r="G355" s="227"/>
      <c r="H355" s="123">
        <f>H356</f>
        <v>575.90000000000009</v>
      </c>
      <c r="I355" s="227"/>
      <c r="J355" s="313">
        <f>J356</f>
        <v>39</v>
      </c>
      <c r="K355" s="511">
        <f t="shared" si="71"/>
        <v>6.7720090293453716E-2</v>
      </c>
      <c r="L355" s="227"/>
      <c r="M355" s="511"/>
      <c r="N355" s="116"/>
      <c r="P355" s="116"/>
      <c r="Q355" s="116"/>
    </row>
    <row r="356" spans="1:17" s="106" customFormat="1" ht="31.5" x14ac:dyDescent="0.25">
      <c r="A356" s="268" t="s">
        <v>52</v>
      </c>
      <c r="B356" s="148" t="s">
        <v>48</v>
      </c>
      <c r="C356" s="4">
        <v>12</v>
      </c>
      <c r="D356" s="568" t="s">
        <v>347</v>
      </c>
      <c r="E356" s="220">
        <v>240</v>
      </c>
      <c r="F356" s="123">
        <f>'ведом. 2024-2026'!AD247</f>
        <v>575.90000000000009</v>
      </c>
      <c r="G356" s="227"/>
      <c r="H356" s="123">
        <f>'ведом. 2024-2026'!AD247</f>
        <v>575.90000000000009</v>
      </c>
      <c r="I356" s="227"/>
      <c r="J356" s="313">
        <f>'ведом. 2024-2026'!AF247</f>
        <v>39</v>
      </c>
      <c r="K356" s="511">
        <f t="shared" si="71"/>
        <v>6.7720090293453716E-2</v>
      </c>
      <c r="L356" s="227"/>
      <c r="M356" s="511"/>
      <c r="N356" s="116"/>
      <c r="P356" s="116"/>
      <c r="Q356" s="116"/>
    </row>
    <row r="357" spans="1:17" s="106" customFormat="1" ht="47.25" x14ac:dyDescent="0.25">
      <c r="A357" s="197" t="s">
        <v>378</v>
      </c>
      <c r="B357" s="148" t="s">
        <v>48</v>
      </c>
      <c r="C357" s="4">
        <v>12</v>
      </c>
      <c r="D357" s="458" t="s">
        <v>377</v>
      </c>
      <c r="E357" s="220"/>
      <c r="F357" s="123">
        <f t="shared" ref="F357:J358" si="78">F358</f>
        <v>347</v>
      </c>
      <c r="G357" s="227">
        <f t="shared" si="78"/>
        <v>347</v>
      </c>
      <c r="H357" s="123">
        <f t="shared" si="78"/>
        <v>347</v>
      </c>
      <c r="I357" s="227">
        <f t="shared" si="78"/>
        <v>347</v>
      </c>
      <c r="J357" s="313">
        <f t="shared" si="78"/>
        <v>272.3</v>
      </c>
      <c r="K357" s="511">
        <f t="shared" si="71"/>
        <v>0.78472622478386167</v>
      </c>
      <c r="L357" s="227">
        <f>L358</f>
        <v>272.3</v>
      </c>
      <c r="M357" s="511">
        <f t="shared" si="74"/>
        <v>0.78472622478386167</v>
      </c>
      <c r="N357" s="116"/>
      <c r="P357" s="116"/>
      <c r="Q357" s="116"/>
    </row>
    <row r="358" spans="1:17" s="106" customFormat="1" x14ac:dyDescent="0.25">
      <c r="A358" s="197" t="s">
        <v>121</v>
      </c>
      <c r="B358" s="148" t="s">
        <v>48</v>
      </c>
      <c r="C358" s="4">
        <v>12</v>
      </c>
      <c r="D358" s="458" t="s">
        <v>377</v>
      </c>
      <c r="E358" s="220">
        <v>200</v>
      </c>
      <c r="F358" s="123">
        <f t="shared" si="78"/>
        <v>347</v>
      </c>
      <c r="G358" s="227">
        <f t="shared" si="78"/>
        <v>347</v>
      </c>
      <c r="H358" s="123">
        <f t="shared" si="78"/>
        <v>347</v>
      </c>
      <c r="I358" s="227">
        <f t="shared" si="78"/>
        <v>347</v>
      </c>
      <c r="J358" s="313">
        <f t="shared" si="78"/>
        <v>272.3</v>
      </c>
      <c r="K358" s="511">
        <f t="shared" si="71"/>
        <v>0.78472622478386167</v>
      </c>
      <c r="L358" s="227">
        <f>L359</f>
        <v>272.3</v>
      </c>
      <c r="M358" s="511">
        <f t="shared" si="74"/>
        <v>0.78472622478386167</v>
      </c>
      <c r="N358" s="116"/>
      <c r="P358" s="116"/>
      <c r="Q358" s="116"/>
    </row>
    <row r="359" spans="1:17" s="106" customFormat="1" ht="31.5" x14ac:dyDescent="0.25">
      <c r="A359" s="197" t="s">
        <v>52</v>
      </c>
      <c r="B359" s="148" t="s">
        <v>48</v>
      </c>
      <c r="C359" s="4">
        <v>12</v>
      </c>
      <c r="D359" s="458" t="s">
        <v>377</v>
      </c>
      <c r="E359" s="220">
        <v>240</v>
      </c>
      <c r="F359" s="123">
        <f>'ведом. 2024-2026'!AD250</f>
        <v>347</v>
      </c>
      <c r="G359" s="227">
        <f>F359</f>
        <v>347</v>
      </c>
      <c r="H359" s="123">
        <f>'ведом. 2024-2026'!AD250</f>
        <v>347</v>
      </c>
      <c r="I359" s="227">
        <f>H359</f>
        <v>347</v>
      </c>
      <c r="J359" s="313">
        <f>'ведом. 2024-2026'!AF250</f>
        <v>272.3</v>
      </c>
      <c r="K359" s="511">
        <f t="shared" si="71"/>
        <v>0.78472622478386167</v>
      </c>
      <c r="L359" s="227">
        <f>J359</f>
        <v>272.3</v>
      </c>
      <c r="M359" s="511">
        <f t="shared" si="74"/>
        <v>0.78472622478386167</v>
      </c>
      <c r="N359" s="116"/>
      <c r="P359" s="116"/>
      <c r="Q359" s="116"/>
    </row>
    <row r="360" spans="1:17" s="106" customFormat="1" x14ac:dyDescent="0.25">
      <c r="A360" s="452" t="s">
        <v>784</v>
      </c>
      <c r="B360" s="1" t="s">
        <v>48</v>
      </c>
      <c r="C360" s="1">
        <v>12</v>
      </c>
      <c r="D360" s="578" t="s">
        <v>785</v>
      </c>
      <c r="E360" s="220"/>
      <c r="F360" s="123">
        <f>F361</f>
        <v>500</v>
      </c>
      <c r="G360" s="123"/>
      <c r="H360" s="123">
        <f>H361</f>
        <v>500</v>
      </c>
      <c r="I360" s="123"/>
      <c r="J360" s="313">
        <f t="shared" ref="J360" si="79">J361</f>
        <v>500</v>
      </c>
      <c r="K360" s="511">
        <f t="shared" si="71"/>
        <v>1</v>
      </c>
      <c r="L360" s="227"/>
      <c r="M360" s="511"/>
      <c r="N360" s="116"/>
      <c r="P360" s="116"/>
      <c r="Q360" s="116"/>
    </row>
    <row r="361" spans="1:17" s="106" customFormat="1" x14ac:dyDescent="0.25">
      <c r="A361" s="310" t="s">
        <v>786</v>
      </c>
      <c r="B361" s="1" t="s">
        <v>48</v>
      </c>
      <c r="C361" s="1">
        <v>12</v>
      </c>
      <c r="D361" s="578" t="s">
        <v>787</v>
      </c>
      <c r="E361" s="220"/>
      <c r="F361" s="123">
        <f>F362</f>
        <v>500</v>
      </c>
      <c r="G361" s="123"/>
      <c r="H361" s="123">
        <f>H362</f>
        <v>500</v>
      </c>
      <c r="I361" s="123"/>
      <c r="J361" s="313">
        <f t="shared" ref="J361:J364" si="80">J362</f>
        <v>500</v>
      </c>
      <c r="K361" s="511">
        <f t="shared" si="71"/>
        <v>1</v>
      </c>
      <c r="L361" s="227"/>
      <c r="M361" s="511"/>
      <c r="N361" s="116"/>
      <c r="P361" s="116"/>
      <c r="Q361" s="116"/>
    </row>
    <row r="362" spans="1:17" s="106" customFormat="1" ht="31.5" x14ac:dyDescent="0.25">
      <c r="A362" s="310" t="s">
        <v>788</v>
      </c>
      <c r="B362" s="1" t="s">
        <v>48</v>
      </c>
      <c r="C362" s="1">
        <v>12</v>
      </c>
      <c r="D362" s="578" t="s">
        <v>789</v>
      </c>
      <c r="E362" s="220"/>
      <c r="F362" s="123">
        <f>F363</f>
        <v>500</v>
      </c>
      <c r="G362" s="123"/>
      <c r="H362" s="123">
        <f>H363</f>
        <v>500</v>
      </c>
      <c r="I362" s="123"/>
      <c r="J362" s="313">
        <f t="shared" si="80"/>
        <v>500</v>
      </c>
      <c r="K362" s="511">
        <f t="shared" si="71"/>
        <v>1</v>
      </c>
      <c r="L362" s="227"/>
      <c r="M362" s="511"/>
      <c r="N362" s="116"/>
      <c r="P362" s="116"/>
      <c r="Q362" s="116"/>
    </row>
    <row r="363" spans="1:17" s="106" customFormat="1" x14ac:dyDescent="0.25">
      <c r="A363" s="310" t="s">
        <v>790</v>
      </c>
      <c r="B363" s="1" t="s">
        <v>48</v>
      </c>
      <c r="C363" s="1">
        <v>12</v>
      </c>
      <c r="D363" s="578" t="s">
        <v>791</v>
      </c>
      <c r="E363" s="220"/>
      <c r="F363" s="123">
        <f>F364</f>
        <v>500</v>
      </c>
      <c r="G363" s="123"/>
      <c r="H363" s="123">
        <f>H364</f>
        <v>500</v>
      </c>
      <c r="I363" s="123"/>
      <c r="J363" s="313">
        <f t="shared" si="80"/>
        <v>500</v>
      </c>
      <c r="K363" s="511">
        <f t="shared" si="71"/>
        <v>1</v>
      </c>
      <c r="L363" s="227"/>
      <c r="M363" s="511"/>
      <c r="N363" s="116"/>
      <c r="P363" s="116"/>
      <c r="Q363" s="116"/>
    </row>
    <row r="364" spans="1:17" s="106" customFormat="1" x14ac:dyDescent="0.25">
      <c r="A364" s="310" t="s">
        <v>42</v>
      </c>
      <c r="B364" s="1" t="s">
        <v>48</v>
      </c>
      <c r="C364" s="1">
        <v>12</v>
      </c>
      <c r="D364" s="578" t="s">
        <v>791</v>
      </c>
      <c r="E364" s="220">
        <v>800</v>
      </c>
      <c r="F364" s="123">
        <f>F365</f>
        <v>500</v>
      </c>
      <c r="G364" s="123"/>
      <c r="H364" s="123">
        <f>H365</f>
        <v>500</v>
      </c>
      <c r="I364" s="123"/>
      <c r="J364" s="313">
        <f t="shared" si="80"/>
        <v>500</v>
      </c>
      <c r="K364" s="511">
        <f t="shared" si="71"/>
        <v>1</v>
      </c>
      <c r="L364" s="227"/>
      <c r="M364" s="511"/>
      <c r="N364" s="116"/>
      <c r="P364" s="116"/>
      <c r="Q364" s="116"/>
    </row>
    <row r="365" spans="1:17" s="106" customFormat="1" ht="31.5" x14ac:dyDescent="0.25">
      <c r="A365" s="310" t="s">
        <v>122</v>
      </c>
      <c r="B365" s="1" t="s">
        <v>48</v>
      </c>
      <c r="C365" s="1">
        <v>12</v>
      </c>
      <c r="D365" s="578" t="s">
        <v>791</v>
      </c>
      <c r="E365" s="220">
        <v>810</v>
      </c>
      <c r="F365" s="123">
        <f>'ведом. 2024-2026'!AD256</f>
        <v>500</v>
      </c>
      <c r="G365" s="123"/>
      <c r="H365" s="123">
        <f>'ведом. 2024-2026'!AD256</f>
        <v>500</v>
      </c>
      <c r="I365" s="123"/>
      <c r="J365" s="313">
        <f>'ведом. 2024-2026'!AF256</f>
        <v>500</v>
      </c>
      <c r="K365" s="511">
        <f t="shared" si="71"/>
        <v>1</v>
      </c>
      <c r="L365" s="227"/>
      <c r="M365" s="511"/>
      <c r="N365" s="116"/>
      <c r="P365" s="116"/>
      <c r="Q365" s="116"/>
    </row>
    <row r="366" spans="1:17" s="106" customFormat="1" x14ac:dyDescent="0.25">
      <c r="A366" s="277" t="s">
        <v>3</v>
      </c>
      <c r="B366" s="150" t="s">
        <v>5</v>
      </c>
      <c r="C366" s="145"/>
      <c r="D366" s="534"/>
      <c r="E366" s="598"/>
      <c r="F366" s="125">
        <f t="shared" ref="F366:L366" si="81">F367+F436+F510+F392</f>
        <v>1737066.1</v>
      </c>
      <c r="G366" s="242">
        <f t="shared" si="81"/>
        <v>914860.4</v>
      </c>
      <c r="H366" s="125">
        <f t="shared" si="81"/>
        <v>1732274.7</v>
      </c>
      <c r="I366" s="242">
        <f t="shared" si="81"/>
        <v>910941.2</v>
      </c>
      <c r="J366" s="502">
        <f t="shared" si="81"/>
        <v>1678928.2999999998</v>
      </c>
      <c r="K366" s="512">
        <f t="shared" si="71"/>
        <v>0.96920442237019333</v>
      </c>
      <c r="L366" s="242">
        <f t="shared" si="81"/>
        <v>877071.29999999993</v>
      </c>
      <c r="M366" s="512">
        <f t="shared" si="74"/>
        <v>0.9628187856691518</v>
      </c>
      <c r="N366" s="116"/>
      <c r="P366" s="116"/>
      <c r="Q366" s="116"/>
    </row>
    <row r="367" spans="1:17" s="106" customFormat="1" x14ac:dyDescent="0.25">
      <c r="A367" s="268" t="s">
        <v>70</v>
      </c>
      <c r="B367" s="148" t="s">
        <v>5</v>
      </c>
      <c r="C367" s="4" t="s">
        <v>29</v>
      </c>
      <c r="D367" s="458"/>
      <c r="E367" s="598"/>
      <c r="F367" s="123">
        <f>F368+F374+F386</f>
        <v>22471.7</v>
      </c>
      <c r="G367" s="123"/>
      <c r="H367" s="123">
        <f>H368+H374+H386</f>
        <v>22471.7</v>
      </c>
      <c r="I367" s="123"/>
      <c r="J367" s="313">
        <f>J368+J374+J386</f>
        <v>21221.8</v>
      </c>
      <c r="K367" s="511">
        <f t="shared" si="71"/>
        <v>0.94437892994299488</v>
      </c>
      <c r="L367" s="227"/>
      <c r="M367" s="511"/>
      <c r="N367" s="116"/>
      <c r="P367" s="116"/>
      <c r="Q367" s="116"/>
    </row>
    <row r="368" spans="1:17" s="106" customFormat="1" x14ac:dyDescent="0.25">
      <c r="A368" s="199" t="s">
        <v>187</v>
      </c>
      <c r="B368" s="148" t="s">
        <v>5</v>
      </c>
      <c r="C368" s="4" t="s">
        <v>29</v>
      </c>
      <c r="D368" s="568" t="s">
        <v>113</v>
      </c>
      <c r="E368" s="598"/>
      <c r="F368" s="123">
        <f>F369</f>
        <v>19157.7</v>
      </c>
      <c r="G368" s="227"/>
      <c r="H368" s="123">
        <f>H369</f>
        <v>19157.7</v>
      </c>
      <c r="I368" s="227"/>
      <c r="J368" s="313">
        <f>J369</f>
        <v>19103.7</v>
      </c>
      <c r="K368" s="511">
        <f t="shared" si="71"/>
        <v>0.99718129002959643</v>
      </c>
      <c r="L368" s="227"/>
      <c r="M368" s="511"/>
      <c r="N368" s="116"/>
      <c r="P368" s="116"/>
      <c r="Q368" s="116"/>
    </row>
    <row r="369" spans="1:17" s="106" customFormat="1" x14ac:dyDescent="0.25">
      <c r="A369" s="199" t="s">
        <v>568</v>
      </c>
      <c r="B369" s="148" t="s">
        <v>5</v>
      </c>
      <c r="C369" s="4" t="s">
        <v>29</v>
      </c>
      <c r="D369" s="568" t="s">
        <v>114</v>
      </c>
      <c r="E369" s="598"/>
      <c r="F369" s="123">
        <f>F370</f>
        <v>19157.7</v>
      </c>
      <c r="G369" s="227"/>
      <c r="H369" s="123">
        <f>H370</f>
        <v>19157.7</v>
      </c>
      <c r="I369" s="227"/>
      <c r="J369" s="313">
        <f>J370</f>
        <v>19103.7</v>
      </c>
      <c r="K369" s="511">
        <f t="shared" si="71"/>
        <v>0.99718129002959643</v>
      </c>
      <c r="L369" s="227"/>
      <c r="M369" s="511"/>
      <c r="N369" s="116"/>
      <c r="P369" s="116"/>
      <c r="Q369" s="116"/>
    </row>
    <row r="370" spans="1:17" s="106" customFormat="1" ht="31.5" x14ac:dyDescent="0.25">
      <c r="A370" s="200" t="s">
        <v>183</v>
      </c>
      <c r="B370" s="148" t="s">
        <v>5</v>
      </c>
      <c r="C370" s="4" t="s">
        <v>29</v>
      </c>
      <c r="D370" s="568" t="s">
        <v>184</v>
      </c>
      <c r="E370" s="598"/>
      <c r="F370" s="123">
        <f>F371</f>
        <v>19157.7</v>
      </c>
      <c r="G370" s="227"/>
      <c r="H370" s="123">
        <f>H371</f>
        <v>19157.7</v>
      </c>
      <c r="I370" s="227"/>
      <c r="J370" s="313">
        <f>J371</f>
        <v>19103.7</v>
      </c>
      <c r="K370" s="511">
        <f t="shared" si="71"/>
        <v>0.99718129002959643</v>
      </c>
      <c r="L370" s="227"/>
      <c r="M370" s="511"/>
      <c r="N370" s="116"/>
      <c r="P370" s="116"/>
      <c r="Q370" s="116"/>
    </row>
    <row r="371" spans="1:17" s="106" customFormat="1" x14ac:dyDescent="0.25">
      <c r="A371" s="201" t="s">
        <v>466</v>
      </c>
      <c r="B371" s="148" t="s">
        <v>5</v>
      </c>
      <c r="C371" s="4" t="s">
        <v>29</v>
      </c>
      <c r="D371" s="568" t="s">
        <v>410</v>
      </c>
      <c r="E371" s="221"/>
      <c r="F371" s="123">
        <f>F372</f>
        <v>19157.7</v>
      </c>
      <c r="G371" s="227"/>
      <c r="H371" s="123">
        <f>H372</f>
        <v>19157.7</v>
      </c>
      <c r="I371" s="227"/>
      <c r="J371" s="313">
        <f>J372</f>
        <v>19103.7</v>
      </c>
      <c r="K371" s="511">
        <f t="shared" si="71"/>
        <v>0.99718129002959643</v>
      </c>
      <c r="L371" s="227"/>
      <c r="M371" s="511"/>
      <c r="N371" s="116"/>
      <c r="P371" s="116"/>
      <c r="Q371" s="116"/>
    </row>
    <row r="372" spans="1:17" s="106" customFormat="1" x14ac:dyDescent="0.25">
      <c r="A372" s="197" t="s">
        <v>121</v>
      </c>
      <c r="B372" s="148" t="s">
        <v>5</v>
      </c>
      <c r="C372" s="4" t="s">
        <v>29</v>
      </c>
      <c r="D372" s="568" t="s">
        <v>410</v>
      </c>
      <c r="E372" s="599">
        <v>200</v>
      </c>
      <c r="F372" s="123">
        <f>F373</f>
        <v>19157.7</v>
      </c>
      <c r="G372" s="227"/>
      <c r="H372" s="123">
        <f>H373</f>
        <v>19157.7</v>
      </c>
      <c r="I372" s="227"/>
      <c r="J372" s="313">
        <f>J373</f>
        <v>19103.7</v>
      </c>
      <c r="K372" s="511">
        <f t="shared" si="71"/>
        <v>0.99718129002959643</v>
      </c>
      <c r="L372" s="227"/>
      <c r="M372" s="511"/>
      <c r="N372" s="116"/>
      <c r="P372" s="116"/>
      <c r="Q372" s="116"/>
    </row>
    <row r="373" spans="1:17" s="106" customFormat="1" ht="31.5" x14ac:dyDescent="0.25">
      <c r="A373" s="197" t="s">
        <v>52</v>
      </c>
      <c r="B373" s="148" t="s">
        <v>5</v>
      </c>
      <c r="C373" s="4" t="s">
        <v>29</v>
      </c>
      <c r="D373" s="568" t="s">
        <v>410</v>
      </c>
      <c r="E373" s="599">
        <v>240</v>
      </c>
      <c r="F373" s="123">
        <f>'ведом. 2024-2026'!AD264</f>
        <v>19157.7</v>
      </c>
      <c r="G373" s="227"/>
      <c r="H373" s="123">
        <f>'ведом. 2024-2026'!AD264</f>
        <v>19157.7</v>
      </c>
      <c r="I373" s="227"/>
      <c r="J373" s="313">
        <f>'ведом. 2024-2026'!AF264</f>
        <v>19103.7</v>
      </c>
      <c r="K373" s="511">
        <f t="shared" si="71"/>
        <v>0.99718129002959643</v>
      </c>
      <c r="L373" s="227"/>
      <c r="M373" s="511"/>
      <c r="N373" s="116"/>
      <c r="P373" s="116"/>
      <c r="Q373" s="116"/>
    </row>
    <row r="374" spans="1:17" s="106" customFormat="1" x14ac:dyDescent="0.25">
      <c r="A374" s="199" t="s">
        <v>249</v>
      </c>
      <c r="B374" s="148" t="s">
        <v>5</v>
      </c>
      <c r="C374" s="4" t="s">
        <v>29</v>
      </c>
      <c r="D374" s="568" t="s">
        <v>250</v>
      </c>
      <c r="E374" s="221"/>
      <c r="F374" s="123">
        <f>F375</f>
        <v>2764</v>
      </c>
      <c r="G374" s="123"/>
      <c r="H374" s="123">
        <f>H375</f>
        <v>2764</v>
      </c>
      <c r="I374" s="123"/>
      <c r="J374" s="313">
        <f>J375</f>
        <v>1568.1</v>
      </c>
      <c r="K374" s="511">
        <f t="shared" si="71"/>
        <v>0.5673299565846599</v>
      </c>
      <c r="L374" s="227"/>
      <c r="M374" s="511"/>
      <c r="N374" s="116"/>
      <c r="P374" s="116"/>
      <c r="Q374" s="116"/>
    </row>
    <row r="375" spans="1:17" s="106" customFormat="1" ht="31.5" x14ac:dyDescent="0.25">
      <c r="A375" s="217" t="s">
        <v>579</v>
      </c>
      <c r="B375" s="148" t="s">
        <v>5</v>
      </c>
      <c r="C375" s="4" t="s">
        <v>29</v>
      </c>
      <c r="D375" s="568" t="s">
        <v>251</v>
      </c>
      <c r="E375" s="221"/>
      <c r="F375" s="123">
        <f>F376+F380</f>
        <v>2764</v>
      </c>
      <c r="G375" s="123"/>
      <c r="H375" s="123">
        <f>H376+H380</f>
        <v>2764</v>
      </c>
      <c r="I375" s="123"/>
      <c r="J375" s="313">
        <f>J376+J380</f>
        <v>1568.1</v>
      </c>
      <c r="K375" s="511">
        <f t="shared" si="71"/>
        <v>0.5673299565846599</v>
      </c>
      <c r="L375" s="227"/>
      <c r="M375" s="511"/>
      <c r="N375" s="116"/>
      <c r="P375" s="116"/>
      <c r="Q375" s="116"/>
    </row>
    <row r="376" spans="1:17" s="106" customFormat="1" ht="31.5" x14ac:dyDescent="0.25">
      <c r="A376" s="218" t="s">
        <v>332</v>
      </c>
      <c r="B376" s="148" t="s">
        <v>5</v>
      </c>
      <c r="C376" s="4" t="s">
        <v>29</v>
      </c>
      <c r="D376" s="568" t="s">
        <v>583</v>
      </c>
      <c r="E376" s="221"/>
      <c r="F376" s="123">
        <f>F377</f>
        <v>100</v>
      </c>
      <c r="G376" s="227"/>
      <c r="H376" s="123">
        <f>H377</f>
        <v>100</v>
      </c>
      <c r="I376" s="227"/>
      <c r="J376" s="313">
        <f t="shared" ref="J376:J378" si="82">J377</f>
        <v>100</v>
      </c>
      <c r="K376" s="511">
        <f t="shared" si="71"/>
        <v>1</v>
      </c>
      <c r="L376" s="227"/>
      <c r="M376" s="511"/>
      <c r="N376" s="116"/>
      <c r="P376" s="116"/>
      <c r="Q376" s="116"/>
    </row>
    <row r="377" spans="1:17" s="106" customFormat="1" x14ac:dyDescent="0.25">
      <c r="A377" s="218" t="s">
        <v>358</v>
      </c>
      <c r="B377" s="148" t="s">
        <v>5</v>
      </c>
      <c r="C377" s="4" t="s">
        <v>29</v>
      </c>
      <c r="D377" s="568" t="s">
        <v>584</v>
      </c>
      <c r="E377" s="221"/>
      <c r="F377" s="123">
        <f>F378</f>
        <v>100</v>
      </c>
      <c r="G377" s="227"/>
      <c r="H377" s="123">
        <f>H378</f>
        <v>100</v>
      </c>
      <c r="I377" s="227"/>
      <c r="J377" s="313">
        <f t="shared" si="82"/>
        <v>100</v>
      </c>
      <c r="K377" s="511">
        <f t="shared" si="71"/>
        <v>1</v>
      </c>
      <c r="L377" s="227"/>
      <c r="M377" s="511"/>
      <c r="N377" s="116"/>
      <c r="P377" s="116"/>
      <c r="Q377" s="116"/>
    </row>
    <row r="378" spans="1:17" s="106" customFormat="1" x14ac:dyDescent="0.25">
      <c r="A378" s="216" t="s">
        <v>121</v>
      </c>
      <c r="B378" s="148" t="s">
        <v>5</v>
      </c>
      <c r="C378" s="4" t="s">
        <v>29</v>
      </c>
      <c r="D378" s="568" t="s">
        <v>584</v>
      </c>
      <c r="E378" s="223" t="s">
        <v>37</v>
      </c>
      <c r="F378" s="123">
        <f>F379</f>
        <v>100</v>
      </c>
      <c r="G378" s="227"/>
      <c r="H378" s="123">
        <f>H379</f>
        <v>100</v>
      </c>
      <c r="I378" s="227"/>
      <c r="J378" s="313">
        <f t="shared" si="82"/>
        <v>100</v>
      </c>
      <c r="K378" s="511">
        <f t="shared" si="71"/>
        <v>1</v>
      </c>
      <c r="L378" s="227"/>
      <c r="M378" s="511"/>
      <c r="N378" s="116"/>
      <c r="P378" s="116"/>
      <c r="Q378" s="116"/>
    </row>
    <row r="379" spans="1:17" s="106" customFormat="1" ht="31.5" x14ac:dyDescent="0.25">
      <c r="A379" s="216" t="s">
        <v>52</v>
      </c>
      <c r="B379" s="148" t="s">
        <v>5</v>
      </c>
      <c r="C379" s="4" t="s">
        <v>29</v>
      </c>
      <c r="D379" s="568" t="s">
        <v>584</v>
      </c>
      <c r="E379" s="223" t="s">
        <v>66</v>
      </c>
      <c r="F379" s="123">
        <f>'ведом. 2024-2026'!AD878</f>
        <v>100</v>
      </c>
      <c r="G379" s="227"/>
      <c r="H379" s="123">
        <f>'ведом. 2024-2026'!AD878</f>
        <v>100</v>
      </c>
      <c r="I379" s="227"/>
      <c r="J379" s="313">
        <f>'ведом. 2024-2026'!AF878</f>
        <v>100</v>
      </c>
      <c r="K379" s="511">
        <f t="shared" si="71"/>
        <v>1</v>
      </c>
      <c r="L379" s="227"/>
      <c r="M379" s="511"/>
      <c r="N379" s="116"/>
      <c r="P379" s="116"/>
      <c r="Q379" s="116"/>
    </row>
    <row r="380" spans="1:17" s="106" customFormat="1" ht="31.5" x14ac:dyDescent="0.25">
      <c r="A380" s="201" t="s">
        <v>333</v>
      </c>
      <c r="B380" s="148" t="s">
        <v>5</v>
      </c>
      <c r="C380" s="4" t="s">
        <v>29</v>
      </c>
      <c r="D380" s="568" t="s">
        <v>581</v>
      </c>
      <c r="E380" s="221"/>
      <c r="F380" s="123">
        <f>F381</f>
        <v>2664</v>
      </c>
      <c r="G380" s="123"/>
      <c r="H380" s="123">
        <f>H381</f>
        <v>2664</v>
      </c>
      <c r="I380" s="123"/>
      <c r="J380" s="313">
        <f>J381</f>
        <v>1468.1</v>
      </c>
      <c r="K380" s="511">
        <f t="shared" si="71"/>
        <v>0.55108858858858856</v>
      </c>
      <c r="L380" s="227"/>
      <c r="M380" s="511"/>
      <c r="N380" s="116"/>
      <c r="P380" s="116"/>
      <c r="Q380" s="116"/>
    </row>
    <row r="381" spans="1:17" s="106" customFormat="1" x14ac:dyDescent="0.25">
      <c r="A381" s="201" t="s">
        <v>658</v>
      </c>
      <c r="B381" s="1" t="s">
        <v>5</v>
      </c>
      <c r="C381" s="4" t="s">
        <v>29</v>
      </c>
      <c r="D381" s="211" t="s">
        <v>671</v>
      </c>
      <c r="E381" s="223"/>
      <c r="F381" s="123">
        <f>F384</f>
        <v>2664</v>
      </c>
      <c r="G381" s="123"/>
      <c r="H381" s="123">
        <f>H382+H384</f>
        <v>2664</v>
      </c>
      <c r="I381" s="123"/>
      <c r="J381" s="313">
        <f>J382+J384</f>
        <v>1468.1</v>
      </c>
      <c r="K381" s="511">
        <f t="shared" si="71"/>
        <v>0.55108858858858856</v>
      </c>
      <c r="L381" s="227"/>
      <c r="M381" s="511"/>
      <c r="N381" s="116"/>
      <c r="P381" s="116"/>
      <c r="Q381" s="116"/>
    </row>
    <row r="382" spans="1:17" s="106" customFormat="1" ht="31.5" x14ac:dyDescent="0.25">
      <c r="A382" s="358" t="s">
        <v>61</v>
      </c>
      <c r="B382" s="1" t="s">
        <v>5</v>
      </c>
      <c r="C382" s="4" t="s">
        <v>29</v>
      </c>
      <c r="D382" s="211" t="s">
        <v>671</v>
      </c>
      <c r="E382" s="220">
        <v>600</v>
      </c>
      <c r="F382" s="123">
        <v>0</v>
      </c>
      <c r="G382" s="123"/>
      <c r="H382" s="123">
        <f>H383</f>
        <v>765.2</v>
      </c>
      <c r="I382" s="123"/>
      <c r="J382" s="313">
        <f>J383</f>
        <v>765.2</v>
      </c>
      <c r="K382" s="511">
        <f t="shared" si="71"/>
        <v>1</v>
      </c>
      <c r="L382" s="227"/>
      <c r="M382" s="511"/>
      <c r="N382" s="116"/>
      <c r="P382" s="116"/>
      <c r="Q382" s="116"/>
    </row>
    <row r="383" spans="1:17" s="106" customFormat="1" x14ac:dyDescent="0.25">
      <c r="A383" s="358" t="s">
        <v>62</v>
      </c>
      <c r="B383" s="1" t="s">
        <v>5</v>
      </c>
      <c r="C383" s="4" t="s">
        <v>29</v>
      </c>
      <c r="D383" s="211" t="s">
        <v>671</v>
      </c>
      <c r="E383" s="220">
        <v>610</v>
      </c>
      <c r="F383" s="123">
        <v>0</v>
      </c>
      <c r="G383" s="123"/>
      <c r="H383" s="123">
        <f>'ведом. 2024-2026'!AE268</f>
        <v>765.2</v>
      </c>
      <c r="I383" s="123"/>
      <c r="J383" s="313">
        <f>'ведом. 2024-2026'!AF268</f>
        <v>765.2</v>
      </c>
      <c r="K383" s="511">
        <f t="shared" si="71"/>
        <v>1</v>
      </c>
      <c r="L383" s="227"/>
      <c r="M383" s="511"/>
      <c r="N383" s="116"/>
      <c r="P383" s="116"/>
      <c r="Q383" s="116"/>
    </row>
    <row r="384" spans="1:17" s="106" customFormat="1" x14ac:dyDescent="0.25">
      <c r="A384" s="197" t="s">
        <v>42</v>
      </c>
      <c r="B384" s="1" t="s">
        <v>5</v>
      </c>
      <c r="C384" s="4" t="s">
        <v>29</v>
      </c>
      <c r="D384" s="211" t="s">
        <v>671</v>
      </c>
      <c r="E384" s="223" t="s">
        <v>363</v>
      </c>
      <c r="F384" s="123">
        <f>F385</f>
        <v>2664</v>
      </c>
      <c r="G384" s="123"/>
      <c r="H384" s="123">
        <f>H385</f>
        <v>1898.8</v>
      </c>
      <c r="I384" s="123"/>
      <c r="J384" s="313">
        <f>J385</f>
        <v>702.9</v>
      </c>
      <c r="K384" s="511">
        <f t="shared" si="71"/>
        <v>0.37018116705287551</v>
      </c>
      <c r="L384" s="227"/>
      <c r="M384" s="511"/>
      <c r="N384" s="116"/>
      <c r="P384" s="116"/>
      <c r="Q384" s="116"/>
    </row>
    <row r="385" spans="1:17" s="106" customFormat="1" ht="31.5" x14ac:dyDescent="0.25">
      <c r="A385" s="197" t="s">
        <v>122</v>
      </c>
      <c r="B385" s="1" t="s">
        <v>5</v>
      </c>
      <c r="C385" s="4" t="s">
        <v>29</v>
      </c>
      <c r="D385" s="211" t="s">
        <v>671</v>
      </c>
      <c r="E385" s="223" t="s">
        <v>364</v>
      </c>
      <c r="F385" s="123">
        <f>'ведом. 2024-2026'!AD270</f>
        <v>2664</v>
      </c>
      <c r="G385" s="227"/>
      <c r="H385" s="123">
        <f>'ведом. 2024-2026'!AE270</f>
        <v>1898.8</v>
      </c>
      <c r="I385" s="227"/>
      <c r="J385" s="313">
        <f>'ведом. 2024-2026'!AF270</f>
        <v>702.9</v>
      </c>
      <c r="K385" s="511">
        <f t="shared" si="71"/>
        <v>0.37018116705287551</v>
      </c>
      <c r="L385" s="227"/>
      <c r="M385" s="511"/>
      <c r="N385" s="116"/>
      <c r="P385" s="116"/>
      <c r="Q385" s="116"/>
    </row>
    <row r="386" spans="1:17" s="106" customFormat="1" x14ac:dyDescent="0.25">
      <c r="A386" s="216" t="s">
        <v>760</v>
      </c>
      <c r="B386" s="1" t="s">
        <v>5</v>
      </c>
      <c r="C386" s="4" t="s">
        <v>29</v>
      </c>
      <c r="D386" s="211" t="s">
        <v>709</v>
      </c>
      <c r="E386" s="223"/>
      <c r="F386" s="123">
        <f>F387</f>
        <v>550</v>
      </c>
      <c r="G386" s="123"/>
      <c r="H386" s="123">
        <f>H387</f>
        <v>550</v>
      </c>
      <c r="I386" s="123"/>
      <c r="J386" s="313">
        <f t="shared" ref="J386:J390" si="83">J387</f>
        <v>550</v>
      </c>
      <c r="K386" s="511">
        <f t="shared" si="71"/>
        <v>1</v>
      </c>
      <c r="L386" s="227"/>
      <c r="M386" s="511"/>
      <c r="N386" s="116"/>
      <c r="P386" s="116"/>
      <c r="Q386" s="116"/>
    </row>
    <row r="387" spans="1:17" s="106" customFormat="1" ht="31.5" x14ac:dyDescent="0.25">
      <c r="A387" s="366" t="s">
        <v>805</v>
      </c>
      <c r="B387" s="1" t="s">
        <v>5</v>
      </c>
      <c r="C387" s="4" t="s">
        <v>29</v>
      </c>
      <c r="D387" s="570" t="s">
        <v>806</v>
      </c>
      <c r="E387" s="223"/>
      <c r="F387" s="123">
        <f>F388</f>
        <v>550</v>
      </c>
      <c r="G387" s="123"/>
      <c r="H387" s="123">
        <f>H388</f>
        <v>550</v>
      </c>
      <c r="I387" s="123"/>
      <c r="J387" s="313">
        <f t="shared" si="83"/>
        <v>550</v>
      </c>
      <c r="K387" s="511">
        <f t="shared" si="71"/>
        <v>1</v>
      </c>
      <c r="L387" s="227"/>
      <c r="M387" s="511"/>
      <c r="N387" s="116"/>
      <c r="P387" s="116"/>
      <c r="Q387" s="116"/>
    </row>
    <row r="388" spans="1:17" s="106" customFormat="1" x14ac:dyDescent="0.25">
      <c r="A388" s="369" t="s">
        <v>807</v>
      </c>
      <c r="B388" s="1" t="s">
        <v>5</v>
      </c>
      <c r="C388" s="4" t="s">
        <v>29</v>
      </c>
      <c r="D388" s="570" t="s">
        <v>808</v>
      </c>
      <c r="E388" s="223"/>
      <c r="F388" s="123">
        <f>F389</f>
        <v>550</v>
      </c>
      <c r="G388" s="123"/>
      <c r="H388" s="123">
        <f>H389</f>
        <v>550</v>
      </c>
      <c r="I388" s="123"/>
      <c r="J388" s="313">
        <f t="shared" si="83"/>
        <v>550</v>
      </c>
      <c r="K388" s="511">
        <f t="shared" si="71"/>
        <v>1</v>
      </c>
      <c r="L388" s="227"/>
      <c r="M388" s="511"/>
      <c r="N388" s="116"/>
      <c r="P388" s="116"/>
      <c r="Q388" s="116"/>
    </row>
    <row r="389" spans="1:17" s="106" customFormat="1" ht="31.5" x14ac:dyDescent="0.25">
      <c r="A389" s="369" t="s">
        <v>810</v>
      </c>
      <c r="B389" s="1" t="s">
        <v>5</v>
      </c>
      <c r="C389" s="4" t="s">
        <v>29</v>
      </c>
      <c r="D389" s="570" t="s">
        <v>809</v>
      </c>
      <c r="E389" s="223"/>
      <c r="F389" s="123">
        <f>F390</f>
        <v>550</v>
      </c>
      <c r="G389" s="123"/>
      <c r="H389" s="123">
        <f>H390</f>
        <v>550</v>
      </c>
      <c r="I389" s="123"/>
      <c r="J389" s="313">
        <f t="shared" si="83"/>
        <v>550</v>
      </c>
      <c r="K389" s="511">
        <f t="shared" si="71"/>
        <v>1</v>
      </c>
      <c r="L389" s="227"/>
      <c r="M389" s="511"/>
      <c r="N389" s="116"/>
      <c r="P389" s="116"/>
      <c r="Q389" s="116"/>
    </row>
    <row r="390" spans="1:17" s="106" customFormat="1" x14ac:dyDescent="0.25">
      <c r="A390" s="366" t="s">
        <v>121</v>
      </c>
      <c r="B390" s="1" t="s">
        <v>5</v>
      </c>
      <c r="C390" s="4" t="s">
        <v>29</v>
      </c>
      <c r="D390" s="570" t="s">
        <v>809</v>
      </c>
      <c r="E390" s="223" t="s">
        <v>37</v>
      </c>
      <c r="F390" s="123">
        <f>F391</f>
        <v>550</v>
      </c>
      <c r="G390" s="123"/>
      <c r="H390" s="123">
        <f>H391</f>
        <v>550</v>
      </c>
      <c r="I390" s="123"/>
      <c r="J390" s="313">
        <f t="shared" si="83"/>
        <v>550</v>
      </c>
      <c r="K390" s="511">
        <f t="shared" si="71"/>
        <v>1</v>
      </c>
      <c r="L390" s="227"/>
      <c r="M390" s="511"/>
      <c r="N390" s="116"/>
      <c r="P390" s="116"/>
      <c r="Q390" s="116"/>
    </row>
    <row r="391" spans="1:17" s="106" customFormat="1" ht="31.5" x14ac:dyDescent="0.25">
      <c r="A391" s="366" t="s">
        <v>52</v>
      </c>
      <c r="B391" s="1" t="s">
        <v>5</v>
      </c>
      <c r="C391" s="4" t="s">
        <v>29</v>
      </c>
      <c r="D391" s="570" t="s">
        <v>809</v>
      </c>
      <c r="E391" s="223" t="s">
        <v>66</v>
      </c>
      <c r="F391" s="123">
        <f>'ведом. 2024-2026'!AD884</f>
        <v>550</v>
      </c>
      <c r="G391" s="227"/>
      <c r="H391" s="123">
        <f>'ведом. 2024-2026'!AD884</f>
        <v>550</v>
      </c>
      <c r="I391" s="227"/>
      <c r="J391" s="313">
        <f>'ведом. 2024-2026'!AF884</f>
        <v>550</v>
      </c>
      <c r="K391" s="511">
        <f t="shared" si="71"/>
        <v>1</v>
      </c>
      <c r="L391" s="227"/>
      <c r="M391" s="511"/>
      <c r="N391" s="116"/>
      <c r="P391" s="116"/>
      <c r="Q391" s="116"/>
    </row>
    <row r="392" spans="1:17" s="106" customFormat="1" x14ac:dyDescent="0.25">
      <c r="A392" s="268" t="s">
        <v>335</v>
      </c>
      <c r="B392" s="148" t="s">
        <v>5</v>
      </c>
      <c r="C392" s="4" t="s">
        <v>30</v>
      </c>
      <c r="D392" s="230"/>
      <c r="E392" s="223"/>
      <c r="F392" s="123">
        <f t="shared" ref="F392:L392" si="84">F393+F425+F419+F431</f>
        <v>615286.10000000009</v>
      </c>
      <c r="G392" s="123">
        <f t="shared" si="84"/>
        <v>295893.90000000002</v>
      </c>
      <c r="H392" s="123">
        <f t="shared" si="84"/>
        <v>610495</v>
      </c>
      <c r="I392" s="123">
        <f t="shared" si="84"/>
        <v>291974.7</v>
      </c>
      <c r="J392" s="313">
        <f>J393+J425+J419+J431</f>
        <v>578460.79999999993</v>
      </c>
      <c r="K392" s="511">
        <f t="shared" si="71"/>
        <v>0.94752749817770809</v>
      </c>
      <c r="L392" s="227">
        <f t="shared" si="84"/>
        <v>265858.09999999998</v>
      </c>
      <c r="M392" s="511">
        <f t="shared" si="74"/>
        <v>0.91055183890933</v>
      </c>
      <c r="N392" s="116"/>
      <c r="P392" s="116"/>
      <c r="Q392" s="116"/>
    </row>
    <row r="393" spans="1:17" s="106" customFormat="1" ht="31.5" x14ac:dyDescent="0.25">
      <c r="A393" s="231" t="s">
        <v>629</v>
      </c>
      <c r="B393" s="152" t="s">
        <v>5</v>
      </c>
      <c r="C393" s="235" t="s">
        <v>30</v>
      </c>
      <c r="D393" s="568" t="s">
        <v>112</v>
      </c>
      <c r="E393" s="600"/>
      <c r="F393" s="123">
        <f>F394</f>
        <v>360474.9</v>
      </c>
      <c r="G393" s="123">
        <f t="shared" ref="G393:L393" si="85">G394</f>
        <v>295639.40000000002</v>
      </c>
      <c r="H393" s="123">
        <f>H394</f>
        <v>355683.9</v>
      </c>
      <c r="I393" s="123">
        <f t="shared" si="85"/>
        <v>291720.2</v>
      </c>
      <c r="J393" s="313">
        <f t="shared" si="85"/>
        <v>323649.69999999995</v>
      </c>
      <c r="K393" s="511">
        <f t="shared" si="71"/>
        <v>0.90993632267302493</v>
      </c>
      <c r="L393" s="227">
        <f t="shared" si="85"/>
        <v>265603.59999999998</v>
      </c>
      <c r="M393" s="511">
        <f t="shared" si="74"/>
        <v>0.91047380332249861</v>
      </c>
      <c r="N393" s="116"/>
      <c r="P393" s="116"/>
      <c r="Q393" s="116"/>
    </row>
    <row r="394" spans="1:17" s="106" customFormat="1" x14ac:dyDescent="0.25">
      <c r="A394" s="231" t="s">
        <v>567</v>
      </c>
      <c r="B394" s="152" t="s">
        <v>5</v>
      </c>
      <c r="C394" s="235" t="s">
        <v>30</v>
      </c>
      <c r="D394" s="568" t="s">
        <v>413</v>
      </c>
      <c r="E394" s="600"/>
      <c r="F394" s="123">
        <f t="shared" ref="F394:L394" si="86">F395+F406</f>
        <v>360474.9</v>
      </c>
      <c r="G394" s="123">
        <f t="shared" si="86"/>
        <v>295639.40000000002</v>
      </c>
      <c r="H394" s="123">
        <f t="shared" si="86"/>
        <v>355683.9</v>
      </c>
      <c r="I394" s="123">
        <f t="shared" si="86"/>
        <v>291720.2</v>
      </c>
      <c r="J394" s="313">
        <f t="shared" si="86"/>
        <v>323649.69999999995</v>
      </c>
      <c r="K394" s="511">
        <f t="shared" si="71"/>
        <v>0.90993632267302493</v>
      </c>
      <c r="L394" s="227">
        <f t="shared" si="86"/>
        <v>265603.59999999998</v>
      </c>
      <c r="M394" s="511">
        <f t="shared" si="74"/>
        <v>0.91047380332249861</v>
      </c>
      <c r="N394" s="116"/>
      <c r="P394" s="116"/>
      <c r="Q394" s="116"/>
    </row>
    <row r="395" spans="1:17" s="106" customFormat="1" ht="31.5" x14ac:dyDescent="0.25">
      <c r="A395" s="231" t="s">
        <v>474</v>
      </c>
      <c r="B395" s="152" t="s">
        <v>5</v>
      </c>
      <c r="C395" s="235" t="s">
        <v>30</v>
      </c>
      <c r="D395" s="579" t="s">
        <v>473</v>
      </c>
      <c r="E395" s="600"/>
      <c r="F395" s="123">
        <f>F402+F399+F396</f>
        <v>169718.39999999999</v>
      </c>
      <c r="G395" s="123">
        <f t="shared" ref="G395:L395" si="87">G402+G399+G396</f>
        <v>139600.59999999998</v>
      </c>
      <c r="H395" s="123">
        <f>H402+H399+H396</f>
        <v>169718.5</v>
      </c>
      <c r="I395" s="123">
        <f t="shared" si="87"/>
        <v>139600.59999999998</v>
      </c>
      <c r="J395" s="313">
        <f t="shared" si="87"/>
        <v>158785.79999999999</v>
      </c>
      <c r="K395" s="511">
        <f t="shared" si="71"/>
        <v>0.93558333357883783</v>
      </c>
      <c r="L395" s="227">
        <f t="shared" si="87"/>
        <v>130745</v>
      </c>
      <c r="M395" s="511">
        <f t="shared" si="74"/>
        <v>0.93656474255841327</v>
      </c>
      <c r="N395" s="116"/>
      <c r="P395" s="116"/>
      <c r="Q395" s="116"/>
    </row>
    <row r="396" spans="1:17" s="106" customFormat="1" ht="31.5" x14ac:dyDescent="0.25">
      <c r="A396" s="347" t="s">
        <v>825</v>
      </c>
      <c r="B396" s="349" t="s">
        <v>5</v>
      </c>
      <c r="C396" s="350" t="s">
        <v>30</v>
      </c>
      <c r="D396" s="580" t="s">
        <v>826</v>
      </c>
      <c r="E396" s="428"/>
      <c r="F396" s="123">
        <f>F397</f>
        <v>0</v>
      </c>
      <c r="G396" s="123"/>
      <c r="H396" s="123">
        <f>H397</f>
        <v>0.1</v>
      </c>
      <c r="I396" s="123"/>
      <c r="J396" s="313">
        <f t="shared" ref="J396" si="88">J397</f>
        <v>0</v>
      </c>
      <c r="K396" s="511">
        <f t="shared" ref="K396:K459" si="89">J396/H396</f>
        <v>0</v>
      </c>
      <c r="L396" s="227"/>
      <c r="M396" s="511"/>
      <c r="N396" s="116"/>
      <c r="P396" s="116"/>
      <c r="Q396" s="116"/>
    </row>
    <row r="397" spans="1:17" s="106" customFormat="1" x14ac:dyDescent="0.25">
      <c r="A397" s="347" t="s">
        <v>121</v>
      </c>
      <c r="B397" s="349" t="s">
        <v>5</v>
      </c>
      <c r="C397" s="350" t="s">
        <v>30</v>
      </c>
      <c r="D397" s="580" t="s">
        <v>826</v>
      </c>
      <c r="E397" s="428" t="s">
        <v>37</v>
      </c>
      <c r="F397" s="123">
        <f>F398</f>
        <v>0</v>
      </c>
      <c r="G397" s="123"/>
      <c r="H397" s="123">
        <f>H398</f>
        <v>0.1</v>
      </c>
      <c r="I397" s="123"/>
      <c r="J397" s="313">
        <f t="shared" ref="J397" si="90">J398</f>
        <v>0</v>
      </c>
      <c r="K397" s="511">
        <f t="shared" si="89"/>
        <v>0</v>
      </c>
      <c r="L397" s="227"/>
      <c r="M397" s="511"/>
      <c r="N397" s="116"/>
      <c r="P397" s="116"/>
      <c r="Q397" s="116"/>
    </row>
    <row r="398" spans="1:17" s="106" customFormat="1" ht="31.5" x14ac:dyDescent="0.25">
      <c r="A398" s="347" t="s">
        <v>52</v>
      </c>
      <c r="B398" s="349" t="s">
        <v>5</v>
      </c>
      <c r="C398" s="350" t="s">
        <v>30</v>
      </c>
      <c r="D398" s="580" t="s">
        <v>826</v>
      </c>
      <c r="E398" s="428" t="s">
        <v>66</v>
      </c>
      <c r="F398" s="123">
        <v>0</v>
      </c>
      <c r="G398" s="123"/>
      <c r="H398" s="123">
        <f>'ведом. 2024-2026'!AE891</f>
        <v>0.1</v>
      </c>
      <c r="I398" s="123"/>
      <c r="J398" s="313">
        <f>'ведом. 2024-2026'!AF891</f>
        <v>0</v>
      </c>
      <c r="K398" s="511">
        <f t="shared" si="89"/>
        <v>0</v>
      </c>
      <c r="L398" s="227"/>
      <c r="M398" s="511"/>
      <c r="N398" s="116"/>
      <c r="P398" s="116"/>
      <c r="Q398" s="116"/>
    </row>
    <row r="399" spans="1:17" s="106" customFormat="1" ht="26.45" customHeight="1" x14ac:dyDescent="0.25">
      <c r="A399" s="197" t="s">
        <v>748</v>
      </c>
      <c r="B399" s="1" t="s">
        <v>5</v>
      </c>
      <c r="C399" s="4" t="s">
        <v>30</v>
      </c>
      <c r="D399" s="577" t="s">
        <v>749</v>
      </c>
      <c r="E399" s="223"/>
      <c r="F399" s="123">
        <f>F400</f>
        <v>10138.5</v>
      </c>
      <c r="G399" s="123">
        <f t="shared" ref="G399:L400" si="91">G400</f>
        <v>8293.2999999999993</v>
      </c>
      <c r="H399" s="123">
        <f>H400</f>
        <v>10138.5</v>
      </c>
      <c r="I399" s="123">
        <f t="shared" si="91"/>
        <v>8293.2999999999993</v>
      </c>
      <c r="J399" s="313">
        <f t="shared" si="91"/>
        <v>10138.5</v>
      </c>
      <c r="K399" s="511">
        <f t="shared" si="89"/>
        <v>1</v>
      </c>
      <c r="L399" s="227">
        <f t="shared" si="91"/>
        <v>8293.2999999999993</v>
      </c>
      <c r="M399" s="511">
        <f t="shared" ref="M399:M436" si="92">L399/I399</f>
        <v>1</v>
      </c>
      <c r="N399" s="116"/>
      <c r="P399" s="116"/>
      <c r="Q399" s="116"/>
    </row>
    <row r="400" spans="1:17" s="106" customFormat="1" x14ac:dyDescent="0.25">
      <c r="A400" s="197" t="s">
        <v>121</v>
      </c>
      <c r="B400" s="1" t="s">
        <v>5</v>
      </c>
      <c r="C400" s="4" t="s">
        <v>30</v>
      </c>
      <c r="D400" s="577" t="s">
        <v>749</v>
      </c>
      <c r="E400" s="223" t="s">
        <v>37</v>
      </c>
      <c r="F400" s="123">
        <f>F401</f>
        <v>10138.5</v>
      </c>
      <c r="G400" s="123">
        <f t="shared" si="91"/>
        <v>8293.2999999999993</v>
      </c>
      <c r="H400" s="123">
        <f>H401</f>
        <v>10138.5</v>
      </c>
      <c r="I400" s="123">
        <f t="shared" si="91"/>
        <v>8293.2999999999993</v>
      </c>
      <c r="J400" s="313">
        <f t="shared" si="91"/>
        <v>10138.5</v>
      </c>
      <c r="K400" s="511">
        <f t="shared" si="89"/>
        <v>1</v>
      </c>
      <c r="L400" s="227">
        <f t="shared" si="91"/>
        <v>8293.2999999999993</v>
      </c>
      <c r="M400" s="511">
        <f t="shared" si="92"/>
        <v>1</v>
      </c>
      <c r="N400" s="116"/>
      <c r="P400" s="116"/>
      <c r="Q400" s="116"/>
    </row>
    <row r="401" spans="1:17" s="106" customFormat="1" ht="31.5" x14ac:dyDescent="0.25">
      <c r="A401" s="197" t="s">
        <v>52</v>
      </c>
      <c r="B401" s="1" t="s">
        <v>5</v>
      </c>
      <c r="C401" s="4" t="s">
        <v>30</v>
      </c>
      <c r="D401" s="577" t="s">
        <v>749</v>
      </c>
      <c r="E401" s="223" t="s">
        <v>66</v>
      </c>
      <c r="F401" s="123">
        <f>'ведом. 2024-2026'!AD894</f>
        <v>10138.5</v>
      </c>
      <c r="G401" s="227">
        <f>8293.3</f>
        <v>8293.2999999999993</v>
      </c>
      <c r="H401" s="123">
        <f>'ведом. 2024-2026'!AE894</f>
        <v>10138.5</v>
      </c>
      <c r="I401" s="227">
        <f>8293.3</f>
        <v>8293.2999999999993</v>
      </c>
      <c r="J401" s="313">
        <f>'ведом. 2024-2026'!AF894</f>
        <v>10138.5</v>
      </c>
      <c r="K401" s="511">
        <f t="shared" si="89"/>
        <v>1</v>
      </c>
      <c r="L401" s="227">
        <v>8293.2999999999993</v>
      </c>
      <c r="M401" s="511">
        <f t="shared" si="92"/>
        <v>1</v>
      </c>
      <c r="N401" s="116"/>
      <c r="P401" s="116"/>
      <c r="Q401" s="116"/>
    </row>
    <row r="402" spans="1:17" s="106" customFormat="1" ht="19.899999999999999" customHeight="1" x14ac:dyDescent="0.25">
      <c r="A402" s="231" t="s">
        <v>590</v>
      </c>
      <c r="B402" s="152" t="s">
        <v>5</v>
      </c>
      <c r="C402" s="235" t="s">
        <v>30</v>
      </c>
      <c r="D402" s="576" t="s">
        <v>591</v>
      </c>
      <c r="E402" s="600"/>
      <c r="F402" s="123">
        <f>F403</f>
        <v>159579.9</v>
      </c>
      <c r="G402" s="123">
        <f t="shared" ref="G402:L402" si="93">G403</f>
        <v>131307.29999999999</v>
      </c>
      <c r="H402" s="123">
        <f>H403</f>
        <v>159579.9</v>
      </c>
      <c r="I402" s="123">
        <f t="shared" si="93"/>
        <v>131307.29999999999</v>
      </c>
      <c r="J402" s="313">
        <f t="shared" si="93"/>
        <v>148647.29999999999</v>
      </c>
      <c r="K402" s="511">
        <f t="shared" si="89"/>
        <v>0.93149137203369592</v>
      </c>
      <c r="L402" s="227">
        <f t="shared" si="93"/>
        <v>122451.7</v>
      </c>
      <c r="M402" s="511">
        <f t="shared" si="92"/>
        <v>0.93255820506552189</v>
      </c>
      <c r="N402" s="116"/>
      <c r="P402" s="116"/>
      <c r="Q402" s="116"/>
    </row>
    <row r="403" spans="1:17" s="106" customFormat="1" ht="31.5" x14ac:dyDescent="0.25">
      <c r="A403" s="270" t="s">
        <v>623</v>
      </c>
      <c r="B403" s="152" t="s">
        <v>5</v>
      </c>
      <c r="C403" s="235" t="s">
        <v>30</v>
      </c>
      <c r="D403" s="576" t="s">
        <v>622</v>
      </c>
      <c r="E403" s="600"/>
      <c r="F403" s="123">
        <f t="shared" ref="F403:L403" si="94">F404</f>
        <v>159579.9</v>
      </c>
      <c r="G403" s="227">
        <f t="shared" si="94"/>
        <v>131307.29999999999</v>
      </c>
      <c r="H403" s="123">
        <f t="shared" si="94"/>
        <v>159579.9</v>
      </c>
      <c r="I403" s="227">
        <f t="shared" si="94"/>
        <v>131307.29999999999</v>
      </c>
      <c r="J403" s="313">
        <f t="shared" si="94"/>
        <v>148647.29999999999</v>
      </c>
      <c r="K403" s="511">
        <f t="shared" si="89"/>
        <v>0.93149137203369592</v>
      </c>
      <c r="L403" s="227">
        <f t="shared" si="94"/>
        <v>122451.7</v>
      </c>
      <c r="M403" s="511">
        <f t="shared" si="92"/>
        <v>0.93255820506552189</v>
      </c>
      <c r="N403" s="116"/>
      <c r="P403" s="116"/>
      <c r="Q403" s="116"/>
    </row>
    <row r="404" spans="1:17" s="106" customFormat="1" x14ac:dyDescent="0.25">
      <c r="A404" s="270" t="s">
        <v>443</v>
      </c>
      <c r="B404" s="152" t="s">
        <v>5</v>
      </c>
      <c r="C404" s="235" t="s">
        <v>30</v>
      </c>
      <c r="D404" s="576" t="s">
        <v>622</v>
      </c>
      <c r="E404" s="223" t="s">
        <v>155</v>
      </c>
      <c r="F404" s="123">
        <f>'ведом. 2024-2026'!AD898</f>
        <v>159579.9</v>
      </c>
      <c r="G404" s="227">
        <f>G405</f>
        <v>131307.29999999999</v>
      </c>
      <c r="H404" s="123">
        <f>H405</f>
        <v>159579.9</v>
      </c>
      <c r="I404" s="227">
        <f>I405</f>
        <v>131307.29999999999</v>
      </c>
      <c r="J404" s="313">
        <f>J405</f>
        <v>148647.29999999999</v>
      </c>
      <c r="K404" s="511">
        <f t="shared" si="89"/>
        <v>0.93149137203369592</v>
      </c>
      <c r="L404" s="227">
        <f t="shared" ref="L404" si="95">L405</f>
        <v>122451.7</v>
      </c>
      <c r="M404" s="511">
        <f t="shared" si="92"/>
        <v>0.93255820506552189</v>
      </c>
      <c r="N404" s="116"/>
      <c r="P404" s="116"/>
      <c r="Q404" s="116"/>
    </row>
    <row r="405" spans="1:17" s="106" customFormat="1" x14ac:dyDescent="0.25">
      <c r="A405" s="197" t="s">
        <v>9</v>
      </c>
      <c r="B405" s="152" t="s">
        <v>5</v>
      </c>
      <c r="C405" s="235" t="s">
        <v>30</v>
      </c>
      <c r="D405" s="576" t="s">
        <v>622</v>
      </c>
      <c r="E405" s="223" t="s">
        <v>156</v>
      </c>
      <c r="F405" s="123">
        <f>'ведом. 2024-2026'!AD898</f>
        <v>159579.9</v>
      </c>
      <c r="G405" s="227">
        <f>45819.9+85487.4</f>
        <v>131307.29999999999</v>
      </c>
      <c r="H405" s="123">
        <f>'ведом. 2024-2026'!AE898</f>
        <v>159579.9</v>
      </c>
      <c r="I405" s="227">
        <f>45819.9+85487.4</f>
        <v>131307.29999999999</v>
      </c>
      <c r="J405" s="313">
        <f>'ведом. 2024-2026'!AF898</f>
        <v>148647.29999999999</v>
      </c>
      <c r="K405" s="511">
        <f t="shared" si="89"/>
        <v>0.93149137203369592</v>
      </c>
      <c r="L405" s="227">
        <v>122451.7</v>
      </c>
      <c r="M405" s="511">
        <f t="shared" si="92"/>
        <v>0.93255820506552189</v>
      </c>
      <c r="N405" s="116"/>
      <c r="P405" s="116"/>
      <c r="Q405" s="116"/>
    </row>
    <row r="406" spans="1:17" s="106" customFormat="1" ht="31.5" x14ac:dyDescent="0.25">
      <c r="A406" s="197" t="s">
        <v>695</v>
      </c>
      <c r="B406" s="1" t="s">
        <v>5</v>
      </c>
      <c r="C406" s="4" t="s">
        <v>30</v>
      </c>
      <c r="D406" s="211" t="s">
        <v>696</v>
      </c>
      <c r="E406" s="223"/>
      <c r="F406" s="123">
        <f>F410+F416+F413+F407</f>
        <v>190756.50000000003</v>
      </c>
      <c r="G406" s="123">
        <f t="shared" ref="G406:J406" si="96">G410+G416+G413+G407</f>
        <v>156038.80000000002</v>
      </c>
      <c r="H406" s="123">
        <f>H410+H416+H413+H407</f>
        <v>185965.40000000002</v>
      </c>
      <c r="I406" s="123">
        <f t="shared" si="96"/>
        <v>152119.60000000003</v>
      </c>
      <c r="J406" s="313">
        <f t="shared" si="96"/>
        <v>164863.9</v>
      </c>
      <c r="K406" s="511">
        <f t="shared" si="89"/>
        <v>0.8865299674025382</v>
      </c>
      <c r="L406" s="227">
        <f>L410+L416+L413+L407</f>
        <v>134858.6</v>
      </c>
      <c r="M406" s="511">
        <f t="shared" si="92"/>
        <v>0.88653007239040849</v>
      </c>
      <c r="N406" s="116"/>
      <c r="P406" s="116"/>
      <c r="Q406" s="116"/>
    </row>
    <row r="407" spans="1:17" s="106" customFormat="1" ht="31.5" x14ac:dyDescent="0.25">
      <c r="A407" s="347" t="s">
        <v>827</v>
      </c>
      <c r="B407" s="349" t="s">
        <v>5</v>
      </c>
      <c r="C407" s="350" t="s">
        <v>30</v>
      </c>
      <c r="D407" s="570" t="s">
        <v>828</v>
      </c>
      <c r="E407" s="428"/>
      <c r="F407" s="123">
        <f>F408</f>
        <v>0</v>
      </c>
      <c r="G407" s="123"/>
      <c r="H407" s="123">
        <f t="shared" ref="H407:J407" si="97">H408</f>
        <v>0.1</v>
      </c>
      <c r="I407" s="123"/>
      <c r="J407" s="313">
        <f t="shared" si="97"/>
        <v>0</v>
      </c>
      <c r="K407" s="511">
        <f t="shared" si="89"/>
        <v>0</v>
      </c>
      <c r="L407" s="227"/>
      <c r="M407" s="511"/>
      <c r="N407" s="116"/>
      <c r="P407" s="116"/>
      <c r="Q407" s="116"/>
    </row>
    <row r="408" spans="1:17" s="106" customFormat="1" x14ac:dyDescent="0.25">
      <c r="A408" s="347" t="s">
        <v>121</v>
      </c>
      <c r="B408" s="349" t="s">
        <v>5</v>
      </c>
      <c r="C408" s="350" t="s">
        <v>30</v>
      </c>
      <c r="D408" s="570" t="s">
        <v>828</v>
      </c>
      <c r="E408" s="428" t="s">
        <v>37</v>
      </c>
      <c r="F408" s="123">
        <f>F409</f>
        <v>0</v>
      </c>
      <c r="G408" s="123"/>
      <c r="H408" s="123">
        <f t="shared" ref="H408:J408" si="98">H409</f>
        <v>0.1</v>
      </c>
      <c r="I408" s="123"/>
      <c r="J408" s="313">
        <f t="shared" si="98"/>
        <v>0</v>
      </c>
      <c r="K408" s="511">
        <f t="shared" si="89"/>
        <v>0</v>
      </c>
      <c r="L408" s="227"/>
      <c r="M408" s="511"/>
      <c r="N408" s="116"/>
      <c r="P408" s="116"/>
      <c r="Q408" s="116"/>
    </row>
    <row r="409" spans="1:17" s="106" customFormat="1" ht="31.5" x14ac:dyDescent="0.25">
      <c r="A409" s="347" t="s">
        <v>52</v>
      </c>
      <c r="B409" s="349" t="s">
        <v>5</v>
      </c>
      <c r="C409" s="350" t="s">
        <v>30</v>
      </c>
      <c r="D409" s="570" t="s">
        <v>828</v>
      </c>
      <c r="E409" s="428" t="s">
        <v>66</v>
      </c>
      <c r="F409" s="123">
        <f>'ведом. 2024-2026'!AD902</f>
        <v>0</v>
      </c>
      <c r="G409" s="123"/>
      <c r="H409" s="123">
        <f>'ведом. 2024-2026'!AE902</f>
        <v>0.1</v>
      </c>
      <c r="I409" s="123"/>
      <c r="J409" s="313">
        <f>'ведом. 2024-2026'!AF902</f>
        <v>0</v>
      </c>
      <c r="K409" s="511">
        <f t="shared" si="89"/>
        <v>0</v>
      </c>
      <c r="L409" s="227"/>
      <c r="M409" s="511"/>
      <c r="N409" s="116"/>
      <c r="P409" s="116"/>
      <c r="Q409" s="116"/>
    </row>
    <row r="410" spans="1:17" s="106" customFormat="1" ht="30" customHeight="1" x14ac:dyDescent="0.25">
      <c r="A410" s="347" t="s">
        <v>769</v>
      </c>
      <c r="B410" s="1" t="s">
        <v>5</v>
      </c>
      <c r="C410" s="4" t="s">
        <v>30</v>
      </c>
      <c r="D410" s="570" t="s">
        <v>770</v>
      </c>
      <c r="E410" s="223"/>
      <c r="F410" s="123">
        <f t="shared" ref="F410:I411" si="99">F411</f>
        <v>103038.70000000001</v>
      </c>
      <c r="G410" s="123">
        <f t="shared" si="99"/>
        <v>84285.6</v>
      </c>
      <c r="H410" s="123">
        <f t="shared" si="99"/>
        <v>103038.70000000001</v>
      </c>
      <c r="I410" s="123">
        <f t="shared" si="99"/>
        <v>84285.6</v>
      </c>
      <c r="J410" s="313">
        <f>J411</f>
        <v>97395.5</v>
      </c>
      <c r="K410" s="511">
        <f t="shared" si="89"/>
        <v>0.94523222827927744</v>
      </c>
      <c r="L410" s="227">
        <f>L411</f>
        <v>79669.5</v>
      </c>
      <c r="M410" s="511">
        <f t="shared" si="92"/>
        <v>0.94523263760357634</v>
      </c>
      <c r="N410" s="116"/>
      <c r="P410" s="116"/>
      <c r="Q410" s="116"/>
    </row>
    <row r="411" spans="1:17" s="106" customFormat="1" x14ac:dyDescent="0.25">
      <c r="A411" s="197" t="s">
        <v>121</v>
      </c>
      <c r="B411" s="1" t="s">
        <v>5</v>
      </c>
      <c r="C411" s="4" t="s">
        <v>30</v>
      </c>
      <c r="D411" s="570" t="s">
        <v>770</v>
      </c>
      <c r="E411" s="223" t="s">
        <v>37</v>
      </c>
      <c r="F411" s="123">
        <f t="shared" si="99"/>
        <v>103038.70000000001</v>
      </c>
      <c r="G411" s="123">
        <f t="shared" si="99"/>
        <v>84285.6</v>
      </c>
      <c r="H411" s="123">
        <f t="shared" si="99"/>
        <v>103038.70000000001</v>
      </c>
      <c r="I411" s="123">
        <f t="shared" si="99"/>
        <v>84285.6</v>
      </c>
      <c r="J411" s="313">
        <f>J412</f>
        <v>97395.5</v>
      </c>
      <c r="K411" s="511">
        <f t="shared" si="89"/>
        <v>0.94523222827927744</v>
      </c>
      <c r="L411" s="227">
        <f>L412</f>
        <v>79669.5</v>
      </c>
      <c r="M411" s="511">
        <f t="shared" si="92"/>
        <v>0.94523263760357634</v>
      </c>
      <c r="N411" s="116"/>
      <c r="P411" s="116"/>
      <c r="Q411" s="116"/>
    </row>
    <row r="412" spans="1:17" s="106" customFormat="1" ht="31.5" x14ac:dyDescent="0.25">
      <c r="A412" s="197" t="s">
        <v>52</v>
      </c>
      <c r="B412" s="1" t="s">
        <v>5</v>
      </c>
      <c r="C412" s="4" t="s">
        <v>30</v>
      </c>
      <c r="D412" s="570" t="s">
        <v>770</v>
      </c>
      <c r="E412" s="223" t="s">
        <v>66</v>
      </c>
      <c r="F412" s="123">
        <f>'ведом. 2024-2026'!AD905</f>
        <v>103038.70000000001</v>
      </c>
      <c r="G412" s="227">
        <f>66823.4+12763.6+4698.6</f>
        <v>84285.6</v>
      </c>
      <c r="H412" s="123">
        <f>'ведом. 2024-2026'!AE905</f>
        <v>103038.70000000001</v>
      </c>
      <c r="I412" s="227">
        <f>66823.4+12763.6+4698.6</f>
        <v>84285.6</v>
      </c>
      <c r="J412" s="313">
        <f>'ведом. 2024-2026'!AF905</f>
        <v>97395.5</v>
      </c>
      <c r="K412" s="511">
        <f t="shared" si="89"/>
        <v>0.94523222827927744</v>
      </c>
      <c r="L412" s="227">
        <v>79669.5</v>
      </c>
      <c r="M412" s="511">
        <f t="shared" si="92"/>
        <v>0.94523263760357634</v>
      </c>
      <c r="N412" s="116"/>
      <c r="P412" s="116"/>
      <c r="Q412" s="116"/>
    </row>
    <row r="413" spans="1:17" s="106" customFormat="1" ht="31.5" x14ac:dyDescent="0.25">
      <c r="A413" s="197" t="s">
        <v>750</v>
      </c>
      <c r="B413" s="1" t="s">
        <v>5</v>
      </c>
      <c r="C413" s="4" t="s">
        <v>30</v>
      </c>
      <c r="D413" s="577" t="s">
        <v>752</v>
      </c>
      <c r="E413" s="223"/>
      <c r="F413" s="123">
        <f t="shared" ref="F413:L414" si="100">F414</f>
        <v>22554.6</v>
      </c>
      <c r="G413" s="123">
        <f t="shared" si="100"/>
        <v>18449.7</v>
      </c>
      <c r="H413" s="123">
        <f t="shared" si="100"/>
        <v>22554.6</v>
      </c>
      <c r="I413" s="123">
        <f t="shared" si="100"/>
        <v>18449.7</v>
      </c>
      <c r="J413" s="313">
        <f t="shared" si="100"/>
        <v>22387.3</v>
      </c>
      <c r="K413" s="511">
        <f t="shared" si="89"/>
        <v>0.99258244437941712</v>
      </c>
      <c r="L413" s="227">
        <f t="shared" si="100"/>
        <v>18312.8</v>
      </c>
      <c r="M413" s="511">
        <f t="shared" si="92"/>
        <v>0.99257982514620824</v>
      </c>
      <c r="N413" s="116"/>
      <c r="P413" s="116"/>
      <c r="Q413" s="116"/>
    </row>
    <row r="414" spans="1:17" s="106" customFormat="1" x14ac:dyDescent="0.25">
      <c r="A414" s="197" t="s">
        <v>121</v>
      </c>
      <c r="B414" s="1" t="s">
        <v>5</v>
      </c>
      <c r="C414" s="4" t="s">
        <v>30</v>
      </c>
      <c r="D414" s="577" t="s">
        <v>752</v>
      </c>
      <c r="E414" s="223" t="s">
        <v>37</v>
      </c>
      <c r="F414" s="123">
        <f t="shared" si="100"/>
        <v>22554.6</v>
      </c>
      <c r="G414" s="123">
        <f t="shared" si="100"/>
        <v>18449.7</v>
      </c>
      <c r="H414" s="123">
        <f t="shared" si="100"/>
        <v>22554.6</v>
      </c>
      <c r="I414" s="123">
        <f t="shared" si="100"/>
        <v>18449.7</v>
      </c>
      <c r="J414" s="313">
        <f t="shared" si="100"/>
        <v>22387.3</v>
      </c>
      <c r="K414" s="511">
        <f t="shared" si="89"/>
        <v>0.99258244437941712</v>
      </c>
      <c r="L414" s="227">
        <f t="shared" si="100"/>
        <v>18312.8</v>
      </c>
      <c r="M414" s="511">
        <f t="shared" si="92"/>
        <v>0.99257982514620824</v>
      </c>
      <c r="N414" s="116"/>
      <c r="P414" s="116"/>
      <c r="Q414" s="116"/>
    </row>
    <row r="415" spans="1:17" s="106" customFormat="1" ht="31.5" x14ac:dyDescent="0.25">
      <c r="A415" s="197" t="s">
        <v>52</v>
      </c>
      <c r="B415" s="1" t="s">
        <v>5</v>
      </c>
      <c r="C415" s="4" t="s">
        <v>30</v>
      </c>
      <c r="D415" s="577" t="s">
        <v>752</v>
      </c>
      <c r="E415" s="223" t="s">
        <v>66</v>
      </c>
      <c r="F415" s="123">
        <f>'ведом. 2024-2026'!AD908</f>
        <v>22554.6</v>
      </c>
      <c r="G415" s="227">
        <f>12272.4+6177.3</f>
        <v>18449.7</v>
      </c>
      <c r="H415" s="123">
        <f>'ведом. 2024-2026'!AE908</f>
        <v>22554.6</v>
      </c>
      <c r="I415" s="227">
        <f>12272.4+6177.3</f>
        <v>18449.7</v>
      </c>
      <c r="J415" s="313">
        <f>'ведом. 2024-2026'!AF908</f>
        <v>22387.3</v>
      </c>
      <c r="K415" s="511">
        <f t="shared" si="89"/>
        <v>0.99258244437941712</v>
      </c>
      <c r="L415" s="227">
        <v>18312.8</v>
      </c>
      <c r="M415" s="511">
        <f t="shared" si="92"/>
        <v>0.99257982514620824</v>
      </c>
      <c r="N415" s="116"/>
      <c r="P415" s="116"/>
      <c r="Q415" s="116"/>
    </row>
    <row r="416" spans="1:17" s="106" customFormat="1" x14ac:dyDescent="0.25">
      <c r="A416" s="197" t="s">
        <v>732</v>
      </c>
      <c r="B416" s="1" t="s">
        <v>5</v>
      </c>
      <c r="C416" s="4" t="s">
        <v>30</v>
      </c>
      <c r="D416" s="211" t="s">
        <v>733</v>
      </c>
      <c r="E416" s="223"/>
      <c r="F416" s="123">
        <f>F417</f>
        <v>65163.199999999997</v>
      </c>
      <c r="G416" s="123">
        <f t="shared" ref="G416:J417" si="101">G417</f>
        <v>53303.5</v>
      </c>
      <c r="H416" s="123">
        <f>H417</f>
        <v>60372</v>
      </c>
      <c r="I416" s="123">
        <f t="shared" si="101"/>
        <v>49384.3</v>
      </c>
      <c r="J416" s="313">
        <f t="shared" si="101"/>
        <v>45081.1</v>
      </c>
      <c r="K416" s="511">
        <f t="shared" si="89"/>
        <v>0.74672199032664144</v>
      </c>
      <c r="L416" s="227">
        <f>L417</f>
        <v>36876.300000000003</v>
      </c>
      <c r="M416" s="511">
        <f t="shared" si="92"/>
        <v>0.74672112391995027</v>
      </c>
      <c r="N416" s="116"/>
      <c r="P416" s="116"/>
      <c r="Q416" s="116"/>
    </row>
    <row r="417" spans="1:17" s="106" customFormat="1" x14ac:dyDescent="0.25">
      <c r="A417" s="197" t="s">
        <v>121</v>
      </c>
      <c r="B417" s="1" t="s">
        <v>5</v>
      </c>
      <c r="C417" s="4" t="s">
        <v>30</v>
      </c>
      <c r="D417" s="211" t="s">
        <v>733</v>
      </c>
      <c r="E417" s="223" t="s">
        <v>37</v>
      </c>
      <c r="F417" s="123">
        <f>F418</f>
        <v>65163.199999999997</v>
      </c>
      <c r="G417" s="123">
        <f t="shared" si="101"/>
        <v>53303.5</v>
      </c>
      <c r="H417" s="123">
        <f>H418</f>
        <v>60372</v>
      </c>
      <c r="I417" s="123">
        <f t="shared" si="101"/>
        <v>49384.3</v>
      </c>
      <c r="J417" s="313">
        <f t="shared" si="101"/>
        <v>45081.1</v>
      </c>
      <c r="K417" s="511">
        <f t="shared" si="89"/>
        <v>0.74672199032664144</v>
      </c>
      <c r="L417" s="227">
        <f>L418</f>
        <v>36876.300000000003</v>
      </c>
      <c r="M417" s="511">
        <f t="shared" si="92"/>
        <v>0.74672112391995027</v>
      </c>
      <c r="N417" s="116"/>
      <c r="P417" s="116"/>
      <c r="Q417" s="116"/>
    </row>
    <row r="418" spans="1:17" s="106" customFormat="1" ht="31.5" x14ac:dyDescent="0.25">
      <c r="A418" s="197" t="s">
        <v>52</v>
      </c>
      <c r="B418" s="1" t="s">
        <v>5</v>
      </c>
      <c r="C418" s="4" t="s">
        <v>30</v>
      </c>
      <c r="D418" s="211" t="s">
        <v>733</v>
      </c>
      <c r="E418" s="223" t="s">
        <v>66</v>
      </c>
      <c r="F418" s="123">
        <f>'ведом. 2024-2026'!AD911</f>
        <v>65163.199999999997</v>
      </c>
      <c r="G418" s="227">
        <f>41051.9+11137.9+1113.7</f>
        <v>53303.5</v>
      </c>
      <c r="H418" s="123">
        <f>'ведом. 2024-2026'!AE911</f>
        <v>60372</v>
      </c>
      <c r="I418" s="227">
        <f>41051.9+11137.9+1113.7-3919.2</f>
        <v>49384.3</v>
      </c>
      <c r="J418" s="313">
        <f>'ведом. 2024-2026'!AF911</f>
        <v>45081.1</v>
      </c>
      <c r="K418" s="511">
        <f t="shared" si="89"/>
        <v>0.74672199032664144</v>
      </c>
      <c r="L418" s="227">
        <v>36876.300000000003</v>
      </c>
      <c r="M418" s="511">
        <f t="shared" si="92"/>
        <v>0.74672112391995027</v>
      </c>
      <c r="N418" s="116"/>
      <c r="P418" s="116"/>
      <c r="Q418" s="116"/>
    </row>
    <row r="419" spans="1:17" s="106" customFormat="1" x14ac:dyDescent="0.25">
      <c r="A419" s="354" t="s">
        <v>187</v>
      </c>
      <c r="B419" s="349" t="s">
        <v>5</v>
      </c>
      <c r="C419" s="350" t="s">
        <v>30</v>
      </c>
      <c r="D419" s="570" t="s">
        <v>113</v>
      </c>
      <c r="E419" s="428"/>
      <c r="F419" s="123">
        <f>F420</f>
        <v>194000</v>
      </c>
      <c r="G419" s="227"/>
      <c r="H419" s="123">
        <f>H420</f>
        <v>194000</v>
      </c>
      <c r="I419" s="123">
        <f t="shared" ref="I419:J419" si="102">I420</f>
        <v>0</v>
      </c>
      <c r="J419" s="313">
        <f t="shared" si="102"/>
        <v>194000</v>
      </c>
      <c r="K419" s="511">
        <f t="shared" si="89"/>
        <v>1</v>
      </c>
      <c r="L419" s="227"/>
      <c r="M419" s="511"/>
      <c r="N419" s="116"/>
      <c r="P419" s="116"/>
      <c r="Q419" s="116"/>
    </row>
    <row r="420" spans="1:17" s="106" customFormat="1" x14ac:dyDescent="0.25">
      <c r="A420" s="369" t="s">
        <v>568</v>
      </c>
      <c r="B420" s="1" t="s">
        <v>5</v>
      </c>
      <c r="C420" s="4" t="s">
        <v>30</v>
      </c>
      <c r="D420" s="570" t="s">
        <v>114</v>
      </c>
      <c r="E420" s="223"/>
      <c r="F420" s="123">
        <f>F421</f>
        <v>194000</v>
      </c>
      <c r="G420" s="123"/>
      <c r="H420" s="123">
        <f>H421</f>
        <v>194000</v>
      </c>
      <c r="I420" s="123"/>
      <c r="J420" s="313">
        <f t="shared" ref="J420" si="103">J421</f>
        <v>194000</v>
      </c>
      <c r="K420" s="511">
        <f t="shared" si="89"/>
        <v>1</v>
      </c>
      <c r="L420" s="227"/>
      <c r="M420" s="511"/>
      <c r="N420" s="116"/>
      <c r="P420" s="116"/>
      <c r="Q420" s="116"/>
    </row>
    <row r="421" spans="1:17" s="106" customFormat="1" ht="31.5" x14ac:dyDescent="0.25">
      <c r="A421" s="368" t="s">
        <v>183</v>
      </c>
      <c r="B421" s="1" t="s">
        <v>5</v>
      </c>
      <c r="C421" s="4" t="s">
        <v>30</v>
      </c>
      <c r="D421" s="570" t="s">
        <v>184</v>
      </c>
      <c r="E421" s="223"/>
      <c r="F421" s="123">
        <f>F422</f>
        <v>194000</v>
      </c>
      <c r="G421" s="123"/>
      <c r="H421" s="123">
        <f>H422</f>
        <v>194000</v>
      </c>
      <c r="I421" s="123"/>
      <c r="J421" s="313">
        <f>J422</f>
        <v>194000</v>
      </c>
      <c r="K421" s="511">
        <f t="shared" si="89"/>
        <v>1</v>
      </c>
      <c r="L421" s="227"/>
      <c r="M421" s="511"/>
      <c r="N421" s="116"/>
      <c r="P421" s="116"/>
      <c r="Q421" s="116"/>
    </row>
    <row r="422" spans="1:17" s="106" customFormat="1" ht="31.5" x14ac:dyDescent="0.25">
      <c r="A422" s="368" t="s">
        <v>185</v>
      </c>
      <c r="B422" s="1" t="s">
        <v>5</v>
      </c>
      <c r="C422" s="4" t="s">
        <v>30</v>
      </c>
      <c r="D422" s="570" t="s">
        <v>186</v>
      </c>
      <c r="E422" s="223"/>
      <c r="F422" s="123">
        <f>F423</f>
        <v>194000</v>
      </c>
      <c r="G422" s="123"/>
      <c r="H422" s="123">
        <f>H423</f>
        <v>194000</v>
      </c>
      <c r="I422" s="123"/>
      <c r="J422" s="313">
        <f>J423</f>
        <v>194000</v>
      </c>
      <c r="K422" s="511">
        <f t="shared" si="89"/>
        <v>1</v>
      </c>
      <c r="L422" s="227"/>
      <c r="M422" s="511"/>
      <c r="N422" s="116"/>
      <c r="P422" s="116"/>
      <c r="Q422" s="116"/>
    </row>
    <row r="423" spans="1:17" s="106" customFormat="1" x14ac:dyDescent="0.25">
      <c r="A423" s="347" t="s">
        <v>42</v>
      </c>
      <c r="B423" s="1" t="s">
        <v>5</v>
      </c>
      <c r="C423" s="4" t="s">
        <v>30</v>
      </c>
      <c r="D423" s="570" t="s">
        <v>186</v>
      </c>
      <c r="E423" s="223" t="s">
        <v>363</v>
      </c>
      <c r="F423" s="123">
        <f>F424</f>
        <v>194000</v>
      </c>
      <c r="G423" s="123"/>
      <c r="H423" s="123">
        <f>H424</f>
        <v>194000</v>
      </c>
      <c r="I423" s="123"/>
      <c r="J423" s="313">
        <f>J424</f>
        <v>194000</v>
      </c>
      <c r="K423" s="511">
        <f t="shared" si="89"/>
        <v>1</v>
      </c>
      <c r="L423" s="227"/>
      <c r="M423" s="511"/>
      <c r="N423" s="116"/>
      <c r="P423" s="116"/>
      <c r="Q423" s="116"/>
    </row>
    <row r="424" spans="1:17" s="106" customFormat="1" ht="31.5" x14ac:dyDescent="0.25">
      <c r="A424" s="347" t="s">
        <v>122</v>
      </c>
      <c r="B424" s="1" t="s">
        <v>5</v>
      </c>
      <c r="C424" s="4" t="s">
        <v>30</v>
      </c>
      <c r="D424" s="570" t="s">
        <v>186</v>
      </c>
      <c r="E424" s="223" t="s">
        <v>364</v>
      </c>
      <c r="F424" s="123">
        <f>'ведом. 2024-2026'!AD604</f>
        <v>194000</v>
      </c>
      <c r="G424" s="227"/>
      <c r="H424" s="123">
        <f>'ведом. 2024-2026'!AE604</f>
        <v>194000</v>
      </c>
      <c r="I424" s="227"/>
      <c r="J424" s="313">
        <f>'ведом. 2024-2026'!AF604</f>
        <v>194000</v>
      </c>
      <c r="K424" s="511">
        <f t="shared" si="89"/>
        <v>1</v>
      </c>
      <c r="L424" s="227"/>
      <c r="M424" s="511"/>
      <c r="N424" s="116"/>
      <c r="P424" s="116"/>
      <c r="Q424" s="116"/>
    </row>
    <row r="425" spans="1:17" s="106" customFormat="1" x14ac:dyDescent="0.25">
      <c r="A425" s="354" t="s">
        <v>249</v>
      </c>
      <c r="B425" s="349" t="s">
        <v>5</v>
      </c>
      <c r="C425" s="350" t="s">
        <v>30</v>
      </c>
      <c r="D425" s="570" t="s">
        <v>250</v>
      </c>
      <c r="E425" s="428"/>
      <c r="F425" s="123">
        <f>F426</f>
        <v>311.19999999999993</v>
      </c>
      <c r="G425" s="123">
        <f t="shared" ref="G425:L429" si="104">G426</f>
        <v>254.49999999999997</v>
      </c>
      <c r="H425" s="123">
        <f>H426</f>
        <v>311.10000000000002</v>
      </c>
      <c r="I425" s="123">
        <f t="shared" si="104"/>
        <v>254.49999999999997</v>
      </c>
      <c r="J425" s="313">
        <f t="shared" si="104"/>
        <v>311.10000000000002</v>
      </c>
      <c r="K425" s="511">
        <f t="shared" si="89"/>
        <v>1</v>
      </c>
      <c r="L425" s="227">
        <f t="shared" si="104"/>
        <v>254.5</v>
      </c>
      <c r="M425" s="511">
        <f t="shared" si="92"/>
        <v>1.0000000000000002</v>
      </c>
      <c r="N425" s="116"/>
      <c r="P425" s="116"/>
      <c r="Q425" s="116"/>
    </row>
    <row r="426" spans="1:17" s="106" customFormat="1" ht="31.5" x14ac:dyDescent="0.25">
      <c r="A426" s="354" t="s">
        <v>579</v>
      </c>
      <c r="B426" s="349" t="s">
        <v>5</v>
      </c>
      <c r="C426" s="350" t="s">
        <v>30</v>
      </c>
      <c r="D426" s="570" t="s">
        <v>251</v>
      </c>
      <c r="E426" s="428"/>
      <c r="F426" s="123">
        <f>F427</f>
        <v>311.19999999999993</v>
      </c>
      <c r="G426" s="123">
        <f t="shared" si="104"/>
        <v>254.49999999999997</v>
      </c>
      <c r="H426" s="123">
        <f>H427</f>
        <v>311.10000000000002</v>
      </c>
      <c r="I426" s="123">
        <f t="shared" si="104"/>
        <v>254.49999999999997</v>
      </c>
      <c r="J426" s="313">
        <f t="shared" si="104"/>
        <v>311.10000000000002</v>
      </c>
      <c r="K426" s="511">
        <f t="shared" si="89"/>
        <v>1</v>
      </c>
      <c r="L426" s="227">
        <f t="shared" si="104"/>
        <v>254.5</v>
      </c>
      <c r="M426" s="511">
        <f t="shared" si="92"/>
        <v>1.0000000000000002</v>
      </c>
      <c r="N426" s="116"/>
      <c r="P426" s="116"/>
      <c r="Q426" s="116"/>
    </row>
    <row r="427" spans="1:17" s="106" customFormat="1" ht="31.5" x14ac:dyDescent="0.25">
      <c r="A427" s="368" t="s">
        <v>580</v>
      </c>
      <c r="B427" s="349" t="s">
        <v>5</v>
      </c>
      <c r="C427" s="350" t="s">
        <v>30</v>
      </c>
      <c r="D427" s="570" t="s">
        <v>252</v>
      </c>
      <c r="E427" s="428"/>
      <c r="F427" s="123">
        <f>F428</f>
        <v>311.19999999999993</v>
      </c>
      <c r="G427" s="123">
        <f t="shared" si="104"/>
        <v>254.49999999999997</v>
      </c>
      <c r="H427" s="123">
        <f>H428</f>
        <v>311.10000000000002</v>
      </c>
      <c r="I427" s="123">
        <f t="shared" si="104"/>
        <v>254.49999999999997</v>
      </c>
      <c r="J427" s="313">
        <f t="shared" si="104"/>
        <v>311.10000000000002</v>
      </c>
      <c r="K427" s="511">
        <f t="shared" si="89"/>
        <v>1</v>
      </c>
      <c r="L427" s="227">
        <f t="shared" si="104"/>
        <v>254.5</v>
      </c>
      <c r="M427" s="511">
        <f t="shared" si="92"/>
        <v>1.0000000000000002</v>
      </c>
      <c r="N427" s="116"/>
      <c r="P427" s="116"/>
      <c r="Q427" s="116"/>
    </row>
    <row r="428" spans="1:17" s="106" customFormat="1" x14ac:dyDescent="0.25">
      <c r="A428" s="347" t="s">
        <v>780</v>
      </c>
      <c r="B428" s="349" t="s">
        <v>5</v>
      </c>
      <c r="C428" s="350" t="s">
        <v>30</v>
      </c>
      <c r="D428" s="570" t="s">
        <v>781</v>
      </c>
      <c r="E428" s="428"/>
      <c r="F428" s="123">
        <f>F429</f>
        <v>311.19999999999993</v>
      </c>
      <c r="G428" s="123">
        <f t="shared" si="104"/>
        <v>254.49999999999997</v>
      </c>
      <c r="H428" s="123">
        <f>H429</f>
        <v>311.10000000000002</v>
      </c>
      <c r="I428" s="123">
        <f t="shared" si="104"/>
        <v>254.49999999999997</v>
      </c>
      <c r="J428" s="313">
        <f t="shared" si="104"/>
        <v>311.10000000000002</v>
      </c>
      <c r="K428" s="511">
        <f t="shared" si="89"/>
        <v>1</v>
      </c>
      <c r="L428" s="227">
        <f t="shared" si="104"/>
        <v>254.5</v>
      </c>
      <c r="M428" s="511">
        <f t="shared" si="92"/>
        <v>1.0000000000000002</v>
      </c>
      <c r="N428" s="116"/>
      <c r="P428" s="116"/>
      <c r="Q428" s="116"/>
    </row>
    <row r="429" spans="1:17" s="106" customFormat="1" x14ac:dyDescent="0.25">
      <c r="A429" s="347" t="s">
        <v>121</v>
      </c>
      <c r="B429" s="349" t="s">
        <v>5</v>
      </c>
      <c r="C429" s="350" t="s">
        <v>30</v>
      </c>
      <c r="D429" s="570" t="s">
        <v>781</v>
      </c>
      <c r="E429" s="428" t="s">
        <v>37</v>
      </c>
      <c r="F429" s="123">
        <f>F430</f>
        <v>311.19999999999993</v>
      </c>
      <c r="G429" s="123">
        <f t="shared" si="104"/>
        <v>254.49999999999997</v>
      </c>
      <c r="H429" s="123">
        <f>H430</f>
        <v>311.10000000000002</v>
      </c>
      <c r="I429" s="123">
        <f t="shared" si="104"/>
        <v>254.49999999999997</v>
      </c>
      <c r="J429" s="313">
        <f t="shared" si="104"/>
        <v>311.10000000000002</v>
      </c>
      <c r="K429" s="511">
        <f t="shared" si="89"/>
        <v>1</v>
      </c>
      <c r="L429" s="227">
        <f t="shared" si="104"/>
        <v>254.5</v>
      </c>
      <c r="M429" s="511">
        <f t="shared" si="92"/>
        <v>1.0000000000000002</v>
      </c>
      <c r="N429" s="116"/>
      <c r="P429" s="116"/>
      <c r="Q429" s="116"/>
    </row>
    <row r="430" spans="1:17" s="106" customFormat="1" ht="31.5" x14ac:dyDescent="0.25">
      <c r="A430" s="347" t="s">
        <v>52</v>
      </c>
      <c r="B430" s="349" t="s">
        <v>5</v>
      </c>
      <c r="C430" s="350" t="s">
        <v>30</v>
      </c>
      <c r="D430" s="570" t="s">
        <v>781</v>
      </c>
      <c r="E430" s="428" t="s">
        <v>66</v>
      </c>
      <c r="F430" s="123">
        <f>'ведом. 2024-2026'!AD917</f>
        <v>311.19999999999993</v>
      </c>
      <c r="G430" s="227">
        <f>323.4-68.9</f>
        <v>254.49999999999997</v>
      </c>
      <c r="H430" s="123">
        <f>'ведом. 2024-2026'!AE917</f>
        <v>311.10000000000002</v>
      </c>
      <c r="I430" s="227">
        <f>323.4-68.9</f>
        <v>254.49999999999997</v>
      </c>
      <c r="J430" s="313">
        <f>'ведом. 2024-2026'!AF917</f>
        <v>311.10000000000002</v>
      </c>
      <c r="K430" s="511">
        <f t="shared" si="89"/>
        <v>1</v>
      </c>
      <c r="L430" s="227">
        <v>254.5</v>
      </c>
      <c r="M430" s="511">
        <f t="shared" si="92"/>
        <v>1.0000000000000002</v>
      </c>
      <c r="N430" s="116"/>
      <c r="P430" s="116"/>
      <c r="Q430" s="116"/>
    </row>
    <row r="431" spans="1:17" s="106" customFormat="1" x14ac:dyDescent="0.25">
      <c r="A431" s="216" t="s">
        <v>344</v>
      </c>
      <c r="B431" s="349" t="s">
        <v>5</v>
      </c>
      <c r="C431" s="350" t="s">
        <v>30</v>
      </c>
      <c r="D431" s="574" t="s">
        <v>138</v>
      </c>
      <c r="E431" s="428"/>
      <c r="F431" s="123">
        <f>F432</f>
        <v>60500</v>
      </c>
      <c r="G431" s="123"/>
      <c r="H431" s="123">
        <f>H432</f>
        <v>60500</v>
      </c>
      <c r="I431" s="123"/>
      <c r="J431" s="313">
        <f t="shared" ref="J431:J432" si="105">J432</f>
        <v>60500</v>
      </c>
      <c r="K431" s="511">
        <f t="shared" si="89"/>
        <v>1</v>
      </c>
      <c r="L431" s="227"/>
      <c r="M431" s="511"/>
      <c r="N431" s="116"/>
      <c r="P431" s="116"/>
      <c r="Q431" s="116"/>
    </row>
    <row r="432" spans="1:17" s="106" customFormat="1" x14ac:dyDescent="0.25">
      <c r="A432" s="197" t="s">
        <v>453</v>
      </c>
      <c r="B432" s="349" t="s">
        <v>5</v>
      </c>
      <c r="C432" s="350" t="s">
        <v>30</v>
      </c>
      <c r="D432" s="574" t="s">
        <v>454</v>
      </c>
      <c r="E432" s="428"/>
      <c r="F432" s="123">
        <f>F433</f>
        <v>60500</v>
      </c>
      <c r="G432" s="227"/>
      <c r="H432" s="123">
        <f>H433</f>
        <v>60500</v>
      </c>
      <c r="I432" s="123"/>
      <c r="J432" s="313">
        <f t="shared" si="105"/>
        <v>60500</v>
      </c>
      <c r="K432" s="511">
        <f t="shared" si="89"/>
        <v>1</v>
      </c>
      <c r="L432" s="227"/>
      <c r="M432" s="511"/>
      <c r="N432" s="116"/>
      <c r="P432" s="116"/>
      <c r="Q432" s="116"/>
    </row>
    <row r="433" spans="1:17" s="106" customFormat="1" ht="31.5" x14ac:dyDescent="0.25">
      <c r="A433" s="197" t="s">
        <v>755</v>
      </c>
      <c r="B433" s="1" t="s">
        <v>5</v>
      </c>
      <c r="C433" s="4" t="s">
        <v>30</v>
      </c>
      <c r="D433" s="574" t="s">
        <v>754</v>
      </c>
      <c r="E433" s="223"/>
      <c r="F433" s="123">
        <f>F434</f>
        <v>60500</v>
      </c>
      <c r="G433" s="123"/>
      <c r="H433" s="123">
        <f>H434</f>
        <v>60500</v>
      </c>
      <c r="I433" s="123"/>
      <c r="J433" s="313">
        <f t="shared" ref="J433" si="106">J434</f>
        <v>60500</v>
      </c>
      <c r="K433" s="511">
        <f t="shared" si="89"/>
        <v>1</v>
      </c>
      <c r="L433" s="227"/>
      <c r="M433" s="511"/>
      <c r="N433" s="116"/>
      <c r="P433" s="116"/>
      <c r="Q433" s="116"/>
    </row>
    <row r="434" spans="1:17" s="106" customFormat="1" x14ac:dyDescent="0.25">
      <c r="A434" s="197" t="s">
        <v>42</v>
      </c>
      <c r="B434" s="1" t="s">
        <v>5</v>
      </c>
      <c r="C434" s="4" t="s">
        <v>30</v>
      </c>
      <c r="D434" s="574" t="s">
        <v>754</v>
      </c>
      <c r="E434" s="223" t="s">
        <v>363</v>
      </c>
      <c r="F434" s="123">
        <f>F435</f>
        <v>60500</v>
      </c>
      <c r="G434" s="123"/>
      <c r="H434" s="123">
        <f>H435</f>
        <v>60500</v>
      </c>
      <c r="I434" s="123"/>
      <c r="J434" s="313">
        <f t="shared" ref="J434" si="107">J435</f>
        <v>60500</v>
      </c>
      <c r="K434" s="511">
        <f t="shared" si="89"/>
        <v>1</v>
      </c>
      <c r="L434" s="227"/>
      <c r="M434" s="511"/>
      <c r="N434" s="116"/>
      <c r="P434" s="116"/>
      <c r="Q434" s="116"/>
    </row>
    <row r="435" spans="1:17" s="106" customFormat="1" ht="31.5" x14ac:dyDescent="0.25">
      <c r="A435" s="197" t="s">
        <v>122</v>
      </c>
      <c r="B435" s="1" t="s">
        <v>5</v>
      </c>
      <c r="C435" s="4" t="s">
        <v>30</v>
      </c>
      <c r="D435" s="574" t="s">
        <v>754</v>
      </c>
      <c r="E435" s="223" t="s">
        <v>364</v>
      </c>
      <c r="F435" s="123">
        <f>'ведом. 2024-2026'!AD282</f>
        <v>60500</v>
      </c>
      <c r="G435" s="227"/>
      <c r="H435" s="123">
        <f>'ведом. 2024-2026'!AE282</f>
        <v>60500</v>
      </c>
      <c r="I435" s="227"/>
      <c r="J435" s="313">
        <f>'ведом. 2024-2026'!AF282</f>
        <v>60500</v>
      </c>
      <c r="K435" s="511">
        <f t="shared" si="89"/>
        <v>1</v>
      </c>
      <c r="L435" s="227"/>
      <c r="M435" s="511"/>
      <c r="N435" s="116"/>
      <c r="P435" s="116"/>
      <c r="Q435" s="116"/>
    </row>
    <row r="436" spans="1:17" s="106" customFormat="1" x14ac:dyDescent="0.25">
      <c r="A436" s="268" t="s">
        <v>18</v>
      </c>
      <c r="B436" s="148" t="s">
        <v>5</v>
      </c>
      <c r="C436" s="4" t="s">
        <v>7</v>
      </c>
      <c r="D436" s="530"/>
      <c r="E436" s="223"/>
      <c r="F436" s="123">
        <f t="shared" ref="F436:L436" si="108">F462+F450+F437+F456</f>
        <v>1070025</v>
      </c>
      <c r="G436" s="123">
        <f t="shared" si="108"/>
        <v>617492.5</v>
      </c>
      <c r="H436" s="123">
        <f t="shared" si="108"/>
        <v>1070024.8999999999</v>
      </c>
      <c r="I436" s="123">
        <f t="shared" si="108"/>
        <v>617492.5</v>
      </c>
      <c r="J436" s="313">
        <f t="shared" si="108"/>
        <v>1050692.3</v>
      </c>
      <c r="K436" s="511">
        <f t="shared" si="89"/>
        <v>0.98193256998038092</v>
      </c>
      <c r="L436" s="227">
        <f t="shared" si="108"/>
        <v>609739.19999999995</v>
      </c>
      <c r="M436" s="511">
        <f t="shared" si="92"/>
        <v>0.98744389607970939</v>
      </c>
      <c r="N436" s="116"/>
      <c r="P436" s="116"/>
      <c r="Q436" s="116"/>
    </row>
    <row r="437" spans="1:17" s="106" customFormat="1" ht="31.5" x14ac:dyDescent="0.25">
      <c r="A437" s="199" t="s">
        <v>163</v>
      </c>
      <c r="B437" s="148" t="s">
        <v>5</v>
      </c>
      <c r="C437" s="4" t="s">
        <v>7</v>
      </c>
      <c r="D437" s="458" t="s">
        <v>103</v>
      </c>
      <c r="E437" s="223"/>
      <c r="F437" s="123">
        <f>F438</f>
        <v>18265.200000000004</v>
      </c>
      <c r="G437" s="227"/>
      <c r="H437" s="123">
        <f>H438</f>
        <v>18265.200000000004</v>
      </c>
      <c r="I437" s="227"/>
      <c r="J437" s="313">
        <f>J438</f>
        <v>17918.5</v>
      </c>
      <c r="K437" s="511">
        <f t="shared" si="89"/>
        <v>0.98101854893458573</v>
      </c>
      <c r="L437" s="227"/>
      <c r="M437" s="511"/>
      <c r="N437" s="116"/>
      <c r="P437" s="116"/>
      <c r="Q437" s="116"/>
    </row>
    <row r="438" spans="1:17" s="106" customFormat="1" x14ac:dyDescent="0.25">
      <c r="A438" s="202" t="s">
        <v>164</v>
      </c>
      <c r="B438" s="148" t="s">
        <v>5</v>
      </c>
      <c r="C438" s="4" t="s">
        <v>7</v>
      </c>
      <c r="D438" s="458" t="s">
        <v>107</v>
      </c>
      <c r="E438" s="223"/>
      <c r="F438" s="123">
        <f>F439+F443</f>
        <v>18265.200000000004</v>
      </c>
      <c r="G438" s="227"/>
      <c r="H438" s="123">
        <f>H439+H443</f>
        <v>18265.200000000004</v>
      </c>
      <c r="I438" s="227"/>
      <c r="J438" s="313">
        <f>J439+J443</f>
        <v>17918.5</v>
      </c>
      <c r="K438" s="511">
        <f t="shared" si="89"/>
        <v>0.98101854893458573</v>
      </c>
      <c r="L438" s="227"/>
      <c r="M438" s="511"/>
      <c r="N438" s="116"/>
      <c r="P438" s="116"/>
      <c r="Q438" s="116"/>
    </row>
    <row r="439" spans="1:17" s="106" customFormat="1" x14ac:dyDescent="0.25">
      <c r="A439" s="215" t="s">
        <v>566</v>
      </c>
      <c r="B439" s="148" t="s">
        <v>5</v>
      </c>
      <c r="C439" s="4" t="s">
        <v>7</v>
      </c>
      <c r="D439" s="458" t="s">
        <v>348</v>
      </c>
      <c r="E439" s="223"/>
      <c r="F439" s="123">
        <f>F440</f>
        <v>9806.4000000000015</v>
      </c>
      <c r="G439" s="227"/>
      <c r="H439" s="123">
        <f>H440</f>
        <v>9806.4000000000015</v>
      </c>
      <c r="I439" s="227"/>
      <c r="J439" s="313">
        <f>J440</f>
        <v>9532.7999999999993</v>
      </c>
      <c r="K439" s="511">
        <f t="shared" si="89"/>
        <v>0.97209985315712166</v>
      </c>
      <c r="L439" s="227"/>
      <c r="M439" s="511"/>
      <c r="N439" s="116"/>
      <c r="P439" s="116"/>
      <c r="Q439" s="116"/>
    </row>
    <row r="440" spans="1:17" s="106" customFormat="1" x14ac:dyDescent="0.25">
      <c r="A440" s="201" t="s">
        <v>255</v>
      </c>
      <c r="B440" s="148" t="s">
        <v>5</v>
      </c>
      <c r="C440" s="4" t="s">
        <v>7</v>
      </c>
      <c r="D440" s="458" t="s">
        <v>374</v>
      </c>
      <c r="E440" s="223"/>
      <c r="F440" s="123">
        <f>F441</f>
        <v>9806.4000000000015</v>
      </c>
      <c r="G440" s="123"/>
      <c r="H440" s="123">
        <f>H441</f>
        <v>9806.4000000000015</v>
      </c>
      <c r="I440" s="123"/>
      <c r="J440" s="313">
        <f t="shared" ref="J440" si="109">J441</f>
        <v>9532.7999999999993</v>
      </c>
      <c r="K440" s="511">
        <f t="shared" si="89"/>
        <v>0.97209985315712166</v>
      </c>
      <c r="L440" s="227"/>
      <c r="M440" s="511"/>
      <c r="N440" s="116"/>
      <c r="P440" s="116"/>
      <c r="Q440" s="116"/>
    </row>
    <row r="441" spans="1:17" s="106" customFormat="1" x14ac:dyDescent="0.25">
      <c r="A441" s="197" t="s">
        <v>121</v>
      </c>
      <c r="B441" s="148" t="s">
        <v>5</v>
      </c>
      <c r="C441" s="4" t="s">
        <v>7</v>
      </c>
      <c r="D441" s="458" t="s">
        <v>374</v>
      </c>
      <c r="E441" s="223" t="s">
        <v>37</v>
      </c>
      <c r="F441" s="123">
        <f>F442</f>
        <v>9806.4000000000015</v>
      </c>
      <c r="G441" s="227"/>
      <c r="H441" s="123">
        <f>H442</f>
        <v>9806.4000000000015</v>
      </c>
      <c r="I441" s="227"/>
      <c r="J441" s="313">
        <f>J442</f>
        <v>9532.7999999999993</v>
      </c>
      <c r="K441" s="511">
        <f t="shared" si="89"/>
        <v>0.97209985315712166</v>
      </c>
      <c r="L441" s="227"/>
      <c r="M441" s="511"/>
      <c r="N441" s="116"/>
      <c r="P441" s="116"/>
      <c r="Q441" s="116"/>
    </row>
    <row r="442" spans="1:17" s="106" customFormat="1" ht="31.5" x14ac:dyDescent="0.25">
      <c r="A442" s="197" t="s">
        <v>52</v>
      </c>
      <c r="B442" s="148" t="s">
        <v>5</v>
      </c>
      <c r="C442" s="4" t="s">
        <v>7</v>
      </c>
      <c r="D442" s="458" t="s">
        <v>349</v>
      </c>
      <c r="E442" s="223" t="s">
        <v>66</v>
      </c>
      <c r="F442" s="123">
        <f>'ведом. 2024-2026'!AD289</f>
        <v>9806.4000000000015</v>
      </c>
      <c r="G442" s="227"/>
      <c r="H442" s="123">
        <f>'ведом. 2024-2026'!AE289</f>
        <v>9806.4000000000015</v>
      </c>
      <c r="I442" s="227"/>
      <c r="J442" s="313">
        <f>'ведом. 2024-2026'!AF289</f>
        <v>9532.7999999999993</v>
      </c>
      <c r="K442" s="511">
        <f t="shared" si="89"/>
        <v>0.97209985315712166</v>
      </c>
      <c r="L442" s="227"/>
      <c r="M442" s="511"/>
      <c r="N442" s="116"/>
      <c r="P442" s="116"/>
      <c r="Q442" s="116"/>
    </row>
    <row r="443" spans="1:17" s="106" customFormat="1" ht="31.5" x14ac:dyDescent="0.25">
      <c r="A443" s="201" t="s">
        <v>254</v>
      </c>
      <c r="B443" s="148" t="s">
        <v>5</v>
      </c>
      <c r="C443" s="4" t="s">
        <v>7</v>
      </c>
      <c r="D443" s="458" t="s">
        <v>350</v>
      </c>
      <c r="E443" s="223"/>
      <c r="F443" s="123">
        <f>F444+F446+F448</f>
        <v>8458.8000000000011</v>
      </c>
      <c r="G443" s="123"/>
      <c r="H443" s="123">
        <f>H444+H446+H448</f>
        <v>8458.8000000000011</v>
      </c>
      <c r="I443" s="123"/>
      <c r="J443" s="313">
        <f t="shared" ref="J443" si="110">J444+J446+J448</f>
        <v>8385.7000000000007</v>
      </c>
      <c r="K443" s="511">
        <f t="shared" si="89"/>
        <v>0.99135811226178649</v>
      </c>
      <c r="L443" s="227"/>
      <c r="M443" s="511"/>
      <c r="N443" s="116"/>
      <c r="P443" s="116"/>
      <c r="Q443" s="116"/>
    </row>
    <row r="444" spans="1:17" s="106" customFormat="1" ht="47.25" x14ac:dyDescent="0.25">
      <c r="A444" s="197" t="s">
        <v>41</v>
      </c>
      <c r="B444" s="148" t="s">
        <v>5</v>
      </c>
      <c r="C444" s="4" t="s">
        <v>7</v>
      </c>
      <c r="D444" s="458" t="s">
        <v>350</v>
      </c>
      <c r="E444" s="223" t="s">
        <v>127</v>
      </c>
      <c r="F444" s="123">
        <f>F445</f>
        <v>7922.8</v>
      </c>
      <c r="G444" s="227"/>
      <c r="H444" s="123">
        <f>H445</f>
        <v>7922.8</v>
      </c>
      <c r="I444" s="227"/>
      <c r="J444" s="313">
        <f>J445</f>
        <v>7922.8</v>
      </c>
      <c r="K444" s="511">
        <f t="shared" si="89"/>
        <v>1</v>
      </c>
      <c r="L444" s="227"/>
      <c r="M444" s="511"/>
      <c r="N444" s="116"/>
      <c r="P444" s="116"/>
      <c r="Q444" s="116"/>
    </row>
    <row r="445" spans="1:17" s="106" customFormat="1" x14ac:dyDescent="0.25">
      <c r="A445" s="197" t="s">
        <v>69</v>
      </c>
      <c r="B445" s="148" t="s">
        <v>5</v>
      </c>
      <c r="C445" s="4" t="s">
        <v>7</v>
      </c>
      <c r="D445" s="458" t="s">
        <v>350</v>
      </c>
      <c r="E445" s="223" t="s">
        <v>128</v>
      </c>
      <c r="F445" s="123">
        <f>'ведом. 2024-2026'!AD292</f>
        <v>7922.8</v>
      </c>
      <c r="G445" s="227"/>
      <c r="H445" s="123">
        <f>'ведом. 2024-2026'!AE292</f>
        <v>7922.8</v>
      </c>
      <c r="I445" s="227"/>
      <c r="J445" s="313">
        <f>'ведом. 2024-2026'!AF292</f>
        <v>7922.8</v>
      </c>
      <c r="K445" s="511">
        <f t="shared" si="89"/>
        <v>1</v>
      </c>
      <c r="L445" s="227"/>
      <c r="M445" s="511"/>
      <c r="N445" s="116"/>
      <c r="P445" s="116"/>
      <c r="Q445" s="116"/>
    </row>
    <row r="446" spans="1:17" s="106" customFormat="1" x14ac:dyDescent="0.25">
      <c r="A446" s="197" t="s">
        <v>121</v>
      </c>
      <c r="B446" s="148" t="s">
        <v>5</v>
      </c>
      <c r="C446" s="4" t="s">
        <v>7</v>
      </c>
      <c r="D446" s="458" t="s">
        <v>350</v>
      </c>
      <c r="E446" s="223" t="s">
        <v>37</v>
      </c>
      <c r="F446" s="123">
        <f>F447</f>
        <v>534.30000000000007</v>
      </c>
      <c r="G446" s="227"/>
      <c r="H446" s="123">
        <f>H447</f>
        <v>534.30000000000007</v>
      </c>
      <c r="I446" s="227"/>
      <c r="J446" s="313">
        <f>J447</f>
        <v>461.2</v>
      </c>
      <c r="K446" s="511">
        <f t="shared" si="89"/>
        <v>0.86318547632416232</v>
      </c>
      <c r="L446" s="227"/>
      <c r="M446" s="511"/>
      <c r="N446" s="116"/>
      <c r="P446" s="116"/>
      <c r="Q446" s="116"/>
    </row>
    <row r="447" spans="1:17" s="106" customFormat="1" ht="31.5" x14ac:dyDescent="0.25">
      <c r="A447" s="197" t="s">
        <v>52</v>
      </c>
      <c r="B447" s="148" t="s">
        <v>5</v>
      </c>
      <c r="C447" s="4" t="s">
        <v>7</v>
      </c>
      <c r="D447" s="458" t="s">
        <v>350</v>
      </c>
      <c r="E447" s="223" t="s">
        <v>66</v>
      </c>
      <c r="F447" s="123">
        <f>'ведом. 2024-2026'!AD294</f>
        <v>534.30000000000007</v>
      </c>
      <c r="G447" s="227"/>
      <c r="H447" s="123">
        <f>'ведом. 2024-2026'!AE294</f>
        <v>534.30000000000007</v>
      </c>
      <c r="I447" s="227"/>
      <c r="J447" s="313">
        <f>'ведом. 2024-2026'!AF294</f>
        <v>461.2</v>
      </c>
      <c r="K447" s="511">
        <f t="shared" si="89"/>
        <v>0.86318547632416232</v>
      </c>
      <c r="L447" s="227"/>
      <c r="M447" s="511"/>
      <c r="N447" s="116"/>
      <c r="P447" s="116"/>
      <c r="Q447" s="116"/>
    </row>
    <row r="448" spans="1:17" s="106" customFormat="1" x14ac:dyDescent="0.25">
      <c r="A448" s="347" t="s">
        <v>42</v>
      </c>
      <c r="B448" s="1" t="s">
        <v>5</v>
      </c>
      <c r="C448" s="4" t="s">
        <v>7</v>
      </c>
      <c r="D448" s="459" t="s">
        <v>350</v>
      </c>
      <c r="E448" s="223" t="s">
        <v>363</v>
      </c>
      <c r="F448" s="123">
        <f>F449</f>
        <v>1.7</v>
      </c>
      <c r="G448" s="123"/>
      <c r="H448" s="123">
        <f>H449</f>
        <v>1.7</v>
      </c>
      <c r="I448" s="123"/>
      <c r="J448" s="313">
        <f>J449</f>
        <v>1.7</v>
      </c>
      <c r="K448" s="511">
        <f t="shared" si="89"/>
        <v>1</v>
      </c>
      <c r="L448" s="227"/>
      <c r="M448" s="511"/>
      <c r="N448" s="116"/>
      <c r="P448" s="116"/>
      <c r="Q448" s="116"/>
    </row>
    <row r="449" spans="1:17" s="106" customFormat="1" x14ac:dyDescent="0.25">
      <c r="A449" s="347" t="s">
        <v>58</v>
      </c>
      <c r="B449" s="1" t="s">
        <v>5</v>
      </c>
      <c r="C449" s="4" t="s">
        <v>7</v>
      </c>
      <c r="D449" s="459" t="s">
        <v>350</v>
      </c>
      <c r="E449" s="223" t="s">
        <v>455</v>
      </c>
      <c r="F449" s="123">
        <f>'ведом. 2024-2026'!AD296</f>
        <v>1.7</v>
      </c>
      <c r="G449" s="227"/>
      <c r="H449" s="123">
        <f>'ведом. 2024-2026'!AD296</f>
        <v>1.7</v>
      </c>
      <c r="I449" s="227"/>
      <c r="J449" s="313">
        <f>'ведом. 2024-2026'!AF296</f>
        <v>1.7</v>
      </c>
      <c r="K449" s="511">
        <f t="shared" si="89"/>
        <v>1</v>
      </c>
      <c r="L449" s="227"/>
      <c r="M449" s="511"/>
      <c r="N449" s="116"/>
      <c r="P449" s="116"/>
      <c r="Q449" s="116"/>
    </row>
    <row r="450" spans="1:17" s="106" customFormat="1" ht="31.5" x14ac:dyDescent="0.25">
      <c r="A450" s="199" t="s">
        <v>306</v>
      </c>
      <c r="B450" s="148" t="s">
        <v>5</v>
      </c>
      <c r="C450" s="4" t="s">
        <v>7</v>
      </c>
      <c r="D450" s="568" t="s">
        <v>132</v>
      </c>
      <c r="E450" s="223"/>
      <c r="F450" s="123">
        <f>F451</f>
        <v>1569.5</v>
      </c>
      <c r="G450" s="227"/>
      <c r="H450" s="123">
        <f>H451</f>
        <v>1569.5</v>
      </c>
      <c r="I450" s="227"/>
      <c r="J450" s="313">
        <f>J451</f>
        <v>1454.5</v>
      </c>
      <c r="K450" s="511">
        <f t="shared" si="89"/>
        <v>0.92672825740681741</v>
      </c>
      <c r="L450" s="227"/>
      <c r="M450" s="511"/>
      <c r="N450" s="116"/>
      <c r="P450" s="116"/>
      <c r="Q450" s="116"/>
    </row>
    <row r="451" spans="1:17" s="106" customFormat="1" ht="47.25" x14ac:dyDescent="0.25">
      <c r="A451" s="199" t="s">
        <v>307</v>
      </c>
      <c r="B451" s="148" t="s">
        <v>5</v>
      </c>
      <c r="C451" s="4" t="s">
        <v>7</v>
      </c>
      <c r="D451" s="568" t="s">
        <v>308</v>
      </c>
      <c r="E451" s="220"/>
      <c r="F451" s="123">
        <f>F452</f>
        <v>1569.5</v>
      </c>
      <c r="G451" s="227"/>
      <c r="H451" s="123">
        <f>H452</f>
        <v>1569.5</v>
      </c>
      <c r="I451" s="227"/>
      <c r="J451" s="313">
        <f>J452</f>
        <v>1454.5</v>
      </c>
      <c r="K451" s="511">
        <f t="shared" si="89"/>
        <v>0.92672825740681741</v>
      </c>
      <c r="L451" s="227"/>
      <c r="M451" s="511"/>
      <c r="N451" s="116"/>
      <c r="P451" s="116"/>
      <c r="Q451" s="116"/>
    </row>
    <row r="452" spans="1:17" s="106" customFormat="1" ht="31.5" x14ac:dyDescent="0.25">
      <c r="A452" s="200" t="s">
        <v>312</v>
      </c>
      <c r="B452" s="148" t="s">
        <v>5</v>
      </c>
      <c r="C452" s="4" t="s">
        <v>7</v>
      </c>
      <c r="D452" s="568" t="s">
        <v>313</v>
      </c>
      <c r="E452" s="220"/>
      <c r="F452" s="123">
        <f>F453</f>
        <v>1569.5</v>
      </c>
      <c r="G452" s="227"/>
      <c r="H452" s="123">
        <f>H453</f>
        <v>1569.5</v>
      </c>
      <c r="I452" s="227"/>
      <c r="J452" s="313">
        <f>J453</f>
        <v>1454.5</v>
      </c>
      <c r="K452" s="511">
        <f t="shared" si="89"/>
        <v>0.92672825740681741</v>
      </c>
      <c r="L452" s="227"/>
      <c r="M452" s="511"/>
      <c r="N452" s="116"/>
      <c r="P452" s="116"/>
      <c r="Q452" s="116"/>
    </row>
    <row r="453" spans="1:17" s="106" customFormat="1" ht="47.25" x14ac:dyDescent="0.25">
      <c r="A453" s="215" t="s">
        <v>369</v>
      </c>
      <c r="B453" s="148" t="s">
        <v>5</v>
      </c>
      <c r="C453" s="4" t="s">
        <v>7</v>
      </c>
      <c r="D453" s="568" t="s">
        <v>314</v>
      </c>
      <c r="E453" s="220"/>
      <c r="F453" s="123">
        <f>F454</f>
        <v>1569.5</v>
      </c>
      <c r="G453" s="227"/>
      <c r="H453" s="123">
        <f>H454</f>
        <v>1569.5</v>
      </c>
      <c r="I453" s="227"/>
      <c r="J453" s="313">
        <f>J454</f>
        <v>1454.5</v>
      </c>
      <c r="K453" s="511">
        <f t="shared" si="89"/>
        <v>0.92672825740681741</v>
      </c>
      <c r="L453" s="227"/>
      <c r="M453" s="511"/>
      <c r="N453" s="116"/>
      <c r="P453" s="116"/>
      <c r="Q453" s="116"/>
    </row>
    <row r="454" spans="1:17" s="106" customFormat="1" x14ac:dyDescent="0.25">
      <c r="A454" s="268" t="s">
        <v>121</v>
      </c>
      <c r="B454" s="148" t="s">
        <v>5</v>
      </c>
      <c r="C454" s="4" t="s">
        <v>7</v>
      </c>
      <c r="D454" s="568" t="s">
        <v>314</v>
      </c>
      <c r="E454" s="220">
        <v>200</v>
      </c>
      <c r="F454" s="123">
        <f>F455</f>
        <v>1569.5</v>
      </c>
      <c r="G454" s="227"/>
      <c r="H454" s="123">
        <f>H455</f>
        <v>1569.5</v>
      </c>
      <c r="I454" s="227"/>
      <c r="J454" s="313">
        <f>J455</f>
        <v>1454.5</v>
      </c>
      <c r="K454" s="511">
        <f t="shared" si="89"/>
        <v>0.92672825740681741</v>
      </c>
      <c r="L454" s="227"/>
      <c r="M454" s="511"/>
      <c r="N454" s="116"/>
      <c r="P454" s="116"/>
      <c r="Q454" s="116"/>
    </row>
    <row r="455" spans="1:17" s="106" customFormat="1" ht="31.5" x14ac:dyDescent="0.25">
      <c r="A455" s="268" t="s">
        <v>52</v>
      </c>
      <c r="B455" s="148" t="s">
        <v>5</v>
      </c>
      <c r="C455" s="4" t="s">
        <v>7</v>
      </c>
      <c r="D455" s="568" t="s">
        <v>314</v>
      </c>
      <c r="E455" s="220">
        <v>240</v>
      </c>
      <c r="F455" s="123">
        <f>'ведом. 2024-2026'!AD302</f>
        <v>1569.5</v>
      </c>
      <c r="G455" s="227"/>
      <c r="H455" s="123">
        <f>'ведом. 2024-2026'!AE302</f>
        <v>1569.5</v>
      </c>
      <c r="I455" s="227"/>
      <c r="J455" s="313">
        <f>'ведом. 2024-2026'!AF302</f>
        <v>1454.5</v>
      </c>
      <c r="K455" s="511">
        <f t="shared" si="89"/>
        <v>0.92672825740681741</v>
      </c>
      <c r="L455" s="227"/>
      <c r="M455" s="511"/>
      <c r="N455" s="116"/>
      <c r="P455" s="116"/>
      <c r="Q455" s="116"/>
    </row>
    <row r="456" spans="1:17" s="106" customFormat="1" x14ac:dyDescent="0.25">
      <c r="A456" s="214" t="s">
        <v>256</v>
      </c>
      <c r="B456" s="148" t="s">
        <v>5</v>
      </c>
      <c r="C456" s="4" t="s">
        <v>7</v>
      </c>
      <c r="D456" s="568" t="s">
        <v>257</v>
      </c>
      <c r="E456" s="598"/>
      <c r="F456" s="123">
        <f>F457</f>
        <v>2920</v>
      </c>
      <c r="G456" s="123"/>
      <c r="H456" s="123">
        <f>H457</f>
        <v>2920</v>
      </c>
      <c r="I456" s="123"/>
      <c r="J456" s="313">
        <f t="shared" ref="J456:J460" si="111">J457</f>
        <v>2920</v>
      </c>
      <c r="K456" s="511">
        <f t="shared" si="89"/>
        <v>1</v>
      </c>
      <c r="L456" s="227"/>
      <c r="M456" s="511"/>
      <c r="N456" s="116"/>
      <c r="P456" s="116"/>
      <c r="Q456" s="116"/>
    </row>
    <row r="457" spans="1:17" s="106" customFormat="1" x14ac:dyDescent="0.25">
      <c r="A457" s="214" t="s">
        <v>406</v>
      </c>
      <c r="B457" s="148" t="s">
        <v>5</v>
      </c>
      <c r="C457" s="4" t="s">
        <v>7</v>
      </c>
      <c r="D457" s="568" t="s">
        <v>258</v>
      </c>
      <c r="E457" s="221"/>
      <c r="F457" s="123">
        <f>F458</f>
        <v>2920</v>
      </c>
      <c r="G457" s="123"/>
      <c r="H457" s="123">
        <f>H458</f>
        <v>2920</v>
      </c>
      <c r="I457" s="123"/>
      <c r="J457" s="313">
        <f t="shared" si="111"/>
        <v>2920</v>
      </c>
      <c r="K457" s="511">
        <f t="shared" si="89"/>
        <v>1</v>
      </c>
      <c r="L457" s="227"/>
      <c r="M457" s="511"/>
      <c r="N457" s="116"/>
      <c r="P457" s="116"/>
      <c r="Q457" s="116"/>
    </row>
    <row r="458" spans="1:17" s="106" customFormat="1" ht="31.5" x14ac:dyDescent="0.25">
      <c r="A458" s="214" t="s">
        <v>681</v>
      </c>
      <c r="B458" s="148" t="s">
        <v>5</v>
      </c>
      <c r="C458" s="4" t="s">
        <v>7</v>
      </c>
      <c r="D458" s="568" t="s">
        <v>678</v>
      </c>
      <c r="E458" s="220"/>
      <c r="F458" s="123">
        <f>F459</f>
        <v>2920</v>
      </c>
      <c r="G458" s="123"/>
      <c r="H458" s="123">
        <f>H459</f>
        <v>2920</v>
      </c>
      <c r="I458" s="123"/>
      <c r="J458" s="313">
        <f t="shared" si="111"/>
        <v>2920</v>
      </c>
      <c r="K458" s="511">
        <f t="shared" si="89"/>
        <v>1</v>
      </c>
      <c r="L458" s="227"/>
      <c r="M458" s="511"/>
      <c r="N458" s="116"/>
      <c r="P458" s="116"/>
      <c r="Q458" s="116"/>
    </row>
    <row r="459" spans="1:17" s="106" customFormat="1" ht="31.5" x14ac:dyDescent="0.25">
      <c r="A459" s="199" t="s">
        <v>680</v>
      </c>
      <c r="B459" s="148" t="s">
        <v>5</v>
      </c>
      <c r="C459" s="4" t="s">
        <v>7</v>
      </c>
      <c r="D459" s="568" t="s">
        <v>679</v>
      </c>
      <c r="E459" s="220"/>
      <c r="F459" s="123">
        <f>F460</f>
        <v>2920</v>
      </c>
      <c r="G459" s="123"/>
      <c r="H459" s="123">
        <f>H460</f>
        <v>2920</v>
      </c>
      <c r="I459" s="123"/>
      <c r="J459" s="313">
        <f t="shared" si="111"/>
        <v>2920</v>
      </c>
      <c r="K459" s="511">
        <f t="shared" si="89"/>
        <v>1</v>
      </c>
      <c r="L459" s="227"/>
      <c r="M459" s="511"/>
      <c r="N459" s="116"/>
      <c r="P459" s="116"/>
      <c r="Q459" s="116"/>
    </row>
    <row r="460" spans="1:17" s="106" customFormat="1" x14ac:dyDescent="0.25">
      <c r="A460" s="216" t="s">
        <v>121</v>
      </c>
      <c r="B460" s="148" t="s">
        <v>5</v>
      </c>
      <c r="C460" s="4" t="s">
        <v>7</v>
      </c>
      <c r="D460" s="568" t="s">
        <v>679</v>
      </c>
      <c r="E460" s="220">
        <v>200</v>
      </c>
      <c r="F460" s="123">
        <f>F461</f>
        <v>2920</v>
      </c>
      <c r="G460" s="123"/>
      <c r="H460" s="123">
        <f>H461</f>
        <v>2920</v>
      </c>
      <c r="I460" s="123"/>
      <c r="J460" s="313">
        <f t="shared" si="111"/>
        <v>2920</v>
      </c>
      <c r="K460" s="511">
        <f t="shared" ref="K460:K523" si="112">J460/H460</f>
        <v>1</v>
      </c>
      <c r="L460" s="227"/>
      <c r="M460" s="511"/>
      <c r="N460" s="116"/>
      <c r="P460" s="116"/>
      <c r="Q460" s="116"/>
    </row>
    <row r="461" spans="1:17" s="106" customFormat="1" ht="31.5" x14ac:dyDescent="0.25">
      <c r="A461" s="216" t="s">
        <v>52</v>
      </c>
      <c r="B461" s="148" t="s">
        <v>5</v>
      </c>
      <c r="C461" s="4" t="s">
        <v>7</v>
      </c>
      <c r="D461" s="568" t="s">
        <v>679</v>
      </c>
      <c r="E461" s="220">
        <v>240</v>
      </c>
      <c r="F461" s="123">
        <f>'ведом. 2024-2026'!AD924</f>
        <v>2920</v>
      </c>
      <c r="G461" s="123"/>
      <c r="H461" s="123">
        <f>'ведом. 2024-2026'!AE924</f>
        <v>2920</v>
      </c>
      <c r="I461" s="123"/>
      <c r="J461" s="313">
        <f>'ведом. 2024-2026'!AF924</f>
        <v>2920</v>
      </c>
      <c r="K461" s="511">
        <f t="shared" si="112"/>
        <v>1</v>
      </c>
      <c r="L461" s="227"/>
      <c r="M461" s="511"/>
      <c r="N461" s="116"/>
      <c r="P461" s="116"/>
      <c r="Q461" s="116"/>
    </row>
    <row r="462" spans="1:17" s="106" customFormat="1" x14ac:dyDescent="0.25">
      <c r="A462" s="199" t="s">
        <v>249</v>
      </c>
      <c r="B462" s="148" t="s">
        <v>5</v>
      </c>
      <c r="C462" s="4" t="s">
        <v>7</v>
      </c>
      <c r="D462" s="568" t="s">
        <v>250</v>
      </c>
      <c r="E462" s="223"/>
      <c r="F462" s="124">
        <f t="shared" ref="F462:L462" si="113">F463+F483</f>
        <v>1047270.3</v>
      </c>
      <c r="G462" s="124">
        <f t="shared" si="113"/>
        <v>617492.5</v>
      </c>
      <c r="H462" s="124">
        <f t="shared" si="113"/>
        <v>1047270.2</v>
      </c>
      <c r="I462" s="124">
        <f t="shared" si="113"/>
        <v>617492.5</v>
      </c>
      <c r="J462" s="503">
        <f t="shared" si="113"/>
        <v>1028399.3</v>
      </c>
      <c r="K462" s="511">
        <f t="shared" si="112"/>
        <v>0.98198086797466411</v>
      </c>
      <c r="L462" s="243">
        <f t="shared" si="113"/>
        <v>609739.19999999995</v>
      </c>
      <c r="M462" s="511">
        <f t="shared" ref="M462:M523" si="114">L462/I462</f>
        <v>0.98744389607970939</v>
      </c>
      <c r="N462" s="116"/>
      <c r="P462" s="116"/>
      <c r="Q462" s="116"/>
    </row>
    <row r="463" spans="1:17" s="106" customFormat="1" x14ac:dyDescent="0.25">
      <c r="A463" s="202" t="s">
        <v>389</v>
      </c>
      <c r="B463" s="148" t="s">
        <v>5</v>
      </c>
      <c r="C463" s="4" t="s">
        <v>7</v>
      </c>
      <c r="D463" s="568" t="s">
        <v>390</v>
      </c>
      <c r="E463" s="223"/>
      <c r="F463" s="124">
        <f t="shared" ref="F463:L463" si="115">F479+F464</f>
        <v>753587.3</v>
      </c>
      <c r="G463" s="243">
        <f t="shared" si="115"/>
        <v>617492.5</v>
      </c>
      <c r="H463" s="124">
        <f t="shared" si="115"/>
        <v>753587.19999999995</v>
      </c>
      <c r="I463" s="243">
        <f t="shared" si="115"/>
        <v>617492.5</v>
      </c>
      <c r="J463" s="503">
        <f>J479+J464</f>
        <v>743983.70000000007</v>
      </c>
      <c r="K463" s="511">
        <f t="shared" si="112"/>
        <v>0.98725628566939583</v>
      </c>
      <c r="L463" s="243">
        <f t="shared" si="115"/>
        <v>609739.19999999995</v>
      </c>
      <c r="M463" s="511">
        <f t="shared" si="114"/>
        <v>0.98744389607970939</v>
      </c>
      <c r="N463" s="116"/>
      <c r="P463" s="116"/>
      <c r="Q463" s="116"/>
    </row>
    <row r="464" spans="1:17" s="106" customFormat="1" ht="31.5" x14ac:dyDescent="0.25">
      <c r="A464" s="202" t="s">
        <v>418</v>
      </c>
      <c r="B464" s="148" t="s">
        <v>5</v>
      </c>
      <c r="C464" s="4" t="s">
        <v>7</v>
      </c>
      <c r="D464" s="568" t="s">
        <v>419</v>
      </c>
      <c r="E464" s="223"/>
      <c r="F464" s="124">
        <f>F473+F476+F465+F470</f>
        <v>448593.2</v>
      </c>
      <c r="G464" s="124">
        <f>G473+G476+G465+G470+G468</f>
        <v>368007.3</v>
      </c>
      <c r="H464" s="124">
        <f>H473+H476+H465+H470</f>
        <v>448593.10000000003</v>
      </c>
      <c r="I464" s="124">
        <f>I473+I476+I465+I470+I468</f>
        <v>368007.3</v>
      </c>
      <c r="J464" s="503">
        <f>J473+J476+J465+J470</f>
        <v>448468.00000000006</v>
      </c>
      <c r="K464" s="511">
        <f t="shared" si="112"/>
        <v>0.99972112812256819</v>
      </c>
      <c r="L464" s="243">
        <f>L473+L476+L465+L470+L468</f>
        <v>368007.3</v>
      </c>
      <c r="M464" s="511">
        <f t="shared" si="114"/>
        <v>1</v>
      </c>
      <c r="N464" s="116"/>
      <c r="P464" s="116"/>
      <c r="Q464" s="116"/>
    </row>
    <row r="465" spans="1:17" s="106" customFormat="1" ht="31.5" x14ac:dyDescent="0.25">
      <c r="A465" s="202" t="s">
        <v>654</v>
      </c>
      <c r="B465" s="148" t="s">
        <v>5</v>
      </c>
      <c r="C465" s="4" t="s">
        <v>7</v>
      </c>
      <c r="D465" s="211" t="s">
        <v>655</v>
      </c>
      <c r="E465" s="223"/>
      <c r="F465" s="124">
        <f>F466+F468</f>
        <v>500</v>
      </c>
      <c r="G465" s="124"/>
      <c r="H465" s="124">
        <f>H466+H468</f>
        <v>500</v>
      </c>
      <c r="I465" s="124"/>
      <c r="J465" s="503">
        <f>J466+J468</f>
        <v>422.7</v>
      </c>
      <c r="K465" s="511">
        <f t="shared" si="112"/>
        <v>0.84539999999999993</v>
      </c>
      <c r="L465" s="243"/>
      <c r="M465" s="511"/>
      <c r="N465" s="116"/>
      <c r="P465" s="116"/>
      <c r="Q465" s="116"/>
    </row>
    <row r="466" spans="1:17" s="106" customFormat="1" x14ac:dyDescent="0.25">
      <c r="A466" s="197" t="s">
        <v>121</v>
      </c>
      <c r="B466" s="1" t="s">
        <v>5</v>
      </c>
      <c r="C466" s="4" t="s">
        <v>7</v>
      </c>
      <c r="D466" s="211" t="s">
        <v>655</v>
      </c>
      <c r="E466" s="223" t="s">
        <v>37</v>
      </c>
      <c r="F466" s="124">
        <f>F467</f>
        <v>200</v>
      </c>
      <c r="G466" s="124"/>
      <c r="H466" s="124">
        <f>H467</f>
        <v>200</v>
      </c>
      <c r="I466" s="124"/>
      <c r="J466" s="503">
        <f>J467</f>
        <v>122.7</v>
      </c>
      <c r="K466" s="511">
        <f t="shared" si="112"/>
        <v>0.61350000000000005</v>
      </c>
      <c r="L466" s="243"/>
      <c r="M466" s="511"/>
      <c r="N466" s="116"/>
      <c r="P466" s="116"/>
      <c r="Q466" s="116"/>
    </row>
    <row r="467" spans="1:17" s="106" customFormat="1" ht="31.5" x14ac:dyDescent="0.25">
      <c r="A467" s="197" t="s">
        <v>52</v>
      </c>
      <c r="B467" s="1" t="s">
        <v>5</v>
      </c>
      <c r="C467" s="4" t="s">
        <v>7</v>
      </c>
      <c r="D467" s="211" t="s">
        <v>655</v>
      </c>
      <c r="E467" s="223" t="s">
        <v>66</v>
      </c>
      <c r="F467" s="124">
        <f>'ведом. 2024-2026'!AD930</f>
        <v>200</v>
      </c>
      <c r="G467" s="243"/>
      <c r="H467" s="124">
        <f>'ведом. 2024-2026'!AE930</f>
        <v>200</v>
      </c>
      <c r="I467" s="243"/>
      <c r="J467" s="503">
        <f>'ведом. 2024-2026'!AF930</f>
        <v>122.7</v>
      </c>
      <c r="K467" s="511">
        <f t="shared" si="112"/>
        <v>0.61350000000000005</v>
      </c>
      <c r="L467" s="243"/>
      <c r="M467" s="511"/>
      <c r="N467" s="116"/>
      <c r="P467" s="116"/>
      <c r="Q467" s="116"/>
    </row>
    <row r="468" spans="1:17" s="106" customFormat="1" ht="31.5" x14ac:dyDescent="0.25">
      <c r="A468" s="268" t="s">
        <v>61</v>
      </c>
      <c r="B468" s="1" t="s">
        <v>5</v>
      </c>
      <c r="C468" s="4" t="s">
        <v>7</v>
      </c>
      <c r="D468" s="211" t="s">
        <v>655</v>
      </c>
      <c r="E468" s="223" t="s">
        <v>411</v>
      </c>
      <c r="F468" s="124">
        <f>F469</f>
        <v>300</v>
      </c>
      <c r="G468" s="124"/>
      <c r="H468" s="124">
        <f>H469</f>
        <v>300</v>
      </c>
      <c r="I468" s="124"/>
      <c r="J468" s="503">
        <f>J469</f>
        <v>300</v>
      </c>
      <c r="K468" s="511">
        <f t="shared" si="112"/>
        <v>1</v>
      </c>
      <c r="L468" s="243"/>
      <c r="M468" s="511"/>
      <c r="N468" s="116"/>
      <c r="P468" s="116"/>
      <c r="Q468" s="116"/>
    </row>
    <row r="469" spans="1:17" s="106" customFormat="1" x14ac:dyDescent="0.25">
      <c r="A469" s="268" t="s">
        <v>62</v>
      </c>
      <c r="B469" s="1" t="s">
        <v>5</v>
      </c>
      <c r="C469" s="4" t="s">
        <v>7</v>
      </c>
      <c r="D469" s="211" t="s">
        <v>655</v>
      </c>
      <c r="E469" s="223" t="s">
        <v>412</v>
      </c>
      <c r="F469" s="124">
        <f>'ведом. 2024-2026'!AD308</f>
        <v>300</v>
      </c>
      <c r="G469" s="243"/>
      <c r="H469" s="124">
        <f>'ведом. 2024-2026'!AE308</f>
        <v>300</v>
      </c>
      <c r="I469" s="243"/>
      <c r="J469" s="503">
        <f>'ведом. 2024-2026'!AF308</f>
        <v>300</v>
      </c>
      <c r="K469" s="511">
        <f t="shared" si="112"/>
        <v>1</v>
      </c>
      <c r="L469" s="243"/>
      <c r="M469" s="511"/>
      <c r="N469" s="116"/>
      <c r="P469" s="116"/>
      <c r="Q469" s="116"/>
    </row>
    <row r="470" spans="1:17" s="106" customFormat="1" x14ac:dyDescent="0.25">
      <c r="A470" s="197" t="s">
        <v>656</v>
      </c>
      <c r="B470" s="1" t="s">
        <v>5</v>
      </c>
      <c r="C470" s="4" t="s">
        <v>7</v>
      </c>
      <c r="D470" s="211" t="s">
        <v>657</v>
      </c>
      <c r="E470" s="223"/>
      <c r="F470" s="124">
        <f>F471</f>
        <v>605</v>
      </c>
      <c r="G470" s="124"/>
      <c r="H470" s="124">
        <f>H471</f>
        <v>605</v>
      </c>
      <c r="I470" s="124"/>
      <c r="J470" s="503">
        <f t="shared" ref="J470:J471" si="116">J471</f>
        <v>605</v>
      </c>
      <c r="K470" s="511">
        <f t="shared" si="112"/>
        <v>1</v>
      </c>
      <c r="L470" s="243"/>
      <c r="M470" s="511"/>
      <c r="N470" s="116"/>
      <c r="P470" s="116"/>
      <c r="Q470" s="116"/>
    </row>
    <row r="471" spans="1:17" s="106" customFormat="1" x14ac:dyDescent="0.25">
      <c r="A471" s="197" t="s">
        <v>121</v>
      </c>
      <c r="B471" s="1" t="s">
        <v>5</v>
      </c>
      <c r="C471" s="4" t="s">
        <v>7</v>
      </c>
      <c r="D471" s="211" t="s">
        <v>657</v>
      </c>
      <c r="E471" s="223" t="s">
        <v>37</v>
      </c>
      <c r="F471" s="124">
        <f>F472</f>
        <v>605</v>
      </c>
      <c r="G471" s="124"/>
      <c r="H471" s="124">
        <f>H472</f>
        <v>605</v>
      </c>
      <c r="I471" s="124"/>
      <c r="J471" s="503">
        <f t="shared" si="116"/>
        <v>605</v>
      </c>
      <c r="K471" s="511">
        <f t="shared" si="112"/>
        <v>1</v>
      </c>
      <c r="L471" s="243"/>
      <c r="M471" s="511"/>
      <c r="N471" s="116"/>
      <c r="P471" s="116"/>
      <c r="Q471" s="116"/>
    </row>
    <row r="472" spans="1:17" s="106" customFormat="1" ht="31.5" x14ac:dyDescent="0.25">
      <c r="A472" s="197" t="s">
        <v>52</v>
      </c>
      <c r="B472" s="1" t="s">
        <v>5</v>
      </c>
      <c r="C472" s="4" t="s">
        <v>7</v>
      </c>
      <c r="D472" s="211" t="s">
        <v>657</v>
      </c>
      <c r="E472" s="223" t="s">
        <v>66</v>
      </c>
      <c r="F472" s="124">
        <f>'ведом. 2024-2026'!AD933</f>
        <v>605</v>
      </c>
      <c r="G472" s="124"/>
      <c r="H472" s="124">
        <f>'ведом. 2024-2026'!AE933</f>
        <v>605</v>
      </c>
      <c r="I472" s="124"/>
      <c r="J472" s="503">
        <f>'ведом. 2024-2026'!AF933</f>
        <v>605</v>
      </c>
      <c r="K472" s="511">
        <f t="shared" si="112"/>
        <v>1</v>
      </c>
      <c r="L472" s="243"/>
      <c r="M472" s="511"/>
      <c r="N472" s="116"/>
      <c r="P472" s="116"/>
      <c r="Q472" s="116"/>
    </row>
    <row r="473" spans="1:17" s="106" customFormat="1" x14ac:dyDescent="0.25">
      <c r="A473" s="201" t="s">
        <v>464</v>
      </c>
      <c r="B473" s="148" t="s">
        <v>5</v>
      </c>
      <c r="C473" s="4" t="s">
        <v>7</v>
      </c>
      <c r="D473" s="211" t="s">
        <v>674</v>
      </c>
      <c r="E473" s="223"/>
      <c r="F473" s="124">
        <f>F474</f>
        <v>5171.7</v>
      </c>
      <c r="G473" s="243"/>
      <c r="H473" s="124">
        <f>H474</f>
        <v>5171.7</v>
      </c>
      <c r="I473" s="243"/>
      <c r="J473" s="503">
        <f>J474</f>
        <v>5123.8999999999996</v>
      </c>
      <c r="K473" s="511">
        <f t="shared" si="112"/>
        <v>0.9907573911866504</v>
      </c>
      <c r="L473" s="243"/>
      <c r="M473" s="511"/>
      <c r="N473" s="116"/>
      <c r="P473" s="116"/>
      <c r="Q473" s="116"/>
    </row>
    <row r="474" spans="1:17" s="106" customFormat="1" x14ac:dyDescent="0.25">
      <c r="A474" s="197" t="s">
        <v>121</v>
      </c>
      <c r="B474" s="148" t="s">
        <v>5</v>
      </c>
      <c r="C474" s="4" t="s">
        <v>7</v>
      </c>
      <c r="D474" s="211" t="s">
        <v>674</v>
      </c>
      <c r="E474" s="223" t="s">
        <v>37</v>
      </c>
      <c r="F474" s="124">
        <f>F475</f>
        <v>5171.7</v>
      </c>
      <c r="G474" s="243"/>
      <c r="H474" s="124">
        <f>H475</f>
        <v>5171.7</v>
      </c>
      <c r="I474" s="243"/>
      <c r="J474" s="503">
        <f>J475</f>
        <v>5123.8999999999996</v>
      </c>
      <c r="K474" s="511">
        <f t="shared" si="112"/>
        <v>0.9907573911866504</v>
      </c>
      <c r="L474" s="243"/>
      <c r="M474" s="511"/>
      <c r="N474" s="116"/>
      <c r="P474" s="116"/>
      <c r="Q474" s="116"/>
    </row>
    <row r="475" spans="1:17" s="106" customFormat="1" ht="31.5" x14ac:dyDescent="0.25">
      <c r="A475" s="197" t="s">
        <v>52</v>
      </c>
      <c r="B475" s="148" t="s">
        <v>5</v>
      </c>
      <c r="C475" s="4" t="s">
        <v>7</v>
      </c>
      <c r="D475" s="211" t="s">
        <v>674</v>
      </c>
      <c r="E475" s="223" t="s">
        <v>66</v>
      </c>
      <c r="F475" s="124">
        <f>'ведом. 2024-2026'!AD936</f>
        <v>5171.7</v>
      </c>
      <c r="G475" s="243"/>
      <c r="H475" s="124">
        <f>'ведом. 2024-2026'!AE936</f>
        <v>5171.7</v>
      </c>
      <c r="I475" s="243"/>
      <c r="J475" s="503">
        <f>'ведом. 2024-2026'!AF936</f>
        <v>5123.8999999999996</v>
      </c>
      <c r="K475" s="511">
        <f t="shared" si="112"/>
        <v>0.9907573911866504</v>
      </c>
      <c r="L475" s="243"/>
      <c r="M475" s="511"/>
      <c r="N475" s="116"/>
      <c r="P475" s="116"/>
      <c r="Q475" s="116"/>
    </row>
    <row r="476" spans="1:17" s="106" customFormat="1" x14ac:dyDescent="0.25">
      <c r="A476" s="197" t="s">
        <v>422</v>
      </c>
      <c r="B476" s="148" t="s">
        <v>5</v>
      </c>
      <c r="C476" s="4" t="s">
        <v>7</v>
      </c>
      <c r="D476" s="568" t="s">
        <v>423</v>
      </c>
      <c r="E476" s="223"/>
      <c r="F476" s="124">
        <f t="shared" ref="F476:L477" si="117">F477</f>
        <v>442316.5</v>
      </c>
      <c r="G476" s="243">
        <f t="shared" si="117"/>
        <v>368007.3</v>
      </c>
      <c r="H476" s="124">
        <f t="shared" si="117"/>
        <v>442316.4</v>
      </c>
      <c r="I476" s="243">
        <f t="shared" si="117"/>
        <v>368007.3</v>
      </c>
      <c r="J476" s="503">
        <f t="shared" si="117"/>
        <v>442316.4</v>
      </c>
      <c r="K476" s="511">
        <f t="shared" si="112"/>
        <v>1</v>
      </c>
      <c r="L476" s="243">
        <f t="shared" si="117"/>
        <v>368007.3</v>
      </c>
      <c r="M476" s="511">
        <f t="shared" si="114"/>
        <v>1</v>
      </c>
      <c r="N476" s="116"/>
      <c r="P476" s="116"/>
      <c r="Q476" s="116"/>
    </row>
    <row r="477" spans="1:17" s="106" customFormat="1" x14ac:dyDescent="0.25">
      <c r="A477" s="197" t="s">
        <v>121</v>
      </c>
      <c r="B477" s="148" t="s">
        <v>5</v>
      </c>
      <c r="C477" s="4" t="s">
        <v>7</v>
      </c>
      <c r="D477" s="568" t="s">
        <v>423</v>
      </c>
      <c r="E477" s="223" t="s">
        <v>37</v>
      </c>
      <c r="F477" s="124">
        <f t="shared" si="117"/>
        <v>442316.5</v>
      </c>
      <c r="G477" s="243">
        <f t="shared" si="117"/>
        <v>368007.3</v>
      </c>
      <c r="H477" s="124">
        <f t="shared" si="117"/>
        <v>442316.4</v>
      </c>
      <c r="I477" s="243">
        <f t="shared" si="117"/>
        <v>368007.3</v>
      </c>
      <c r="J477" s="503">
        <f t="shared" si="117"/>
        <v>442316.4</v>
      </c>
      <c r="K477" s="511">
        <f t="shared" si="112"/>
        <v>1</v>
      </c>
      <c r="L477" s="243">
        <f t="shared" si="117"/>
        <v>368007.3</v>
      </c>
      <c r="M477" s="511">
        <f t="shared" si="114"/>
        <v>1</v>
      </c>
      <c r="N477" s="116"/>
      <c r="P477" s="116"/>
      <c r="Q477" s="116"/>
    </row>
    <row r="478" spans="1:17" s="106" customFormat="1" ht="31.5" x14ac:dyDescent="0.25">
      <c r="A478" s="197" t="s">
        <v>52</v>
      </c>
      <c r="B478" s="148" t="s">
        <v>5</v>
      </c>
      <c r="C478" s="4" t="s">
        <v>7</v>
      </c>
      <c r="D478" s="568" t="s">
        <v>423</v>
      </c>
      <c r="E478" s="223" t="s">
        <v>66</v>
      </c>
      <c r="F478" s="124">
        <f>'ведом. 2024-2026'!AD939</f>
        <v>442316.5</v>
      </c>
      <c r="G478" s="243">
        <v>368007.3</v>
      </c>
      <c r="H478" s="124">
        <f>'ведом. 2024-2026'!AE939</f>
        <v>442316.4</v>
      </c>
      <c r="I478" s="243">
        <v>368007.3</v>
      </c>
      <c r="J478" s="503">
        <f>'ведом. 2024-2026'!AF939</f>
        <v>442316.4</v>
      </c>
      <c r="K478" s="511">
        <f t="shared" si="112"/>
        <v>1</v>
      </c>
      <c r="L478" s="243">
        <f>368007.3</f>
        <v>368007.3</v>
      </c>
      <c r="M478" s="511">
        <f t="shared" si="114"/>
        <v>1</v>
      </c>
      <c r="N478" s="116"/>
      <c r="P478" s="116"/>
      <c r="Q478" s="116"/>
    </row>
    <row r="479" spans="1:17" s="106" customFormat="1" x14ac:dyDescent="0.25">
      <c r="A479" s="201" t="s">
        <v>391</v>
      </c>
      <c r="B479" s="148" t="s">
        <v>5</v>
      </c>
      <c r="C479" s="4" t="s">
        <v>7</v>
      </c>
      <c r="D479" s="568" t="s">
        <v>392</v>
      </c>
      <c r="E479" s="223"/>
      <c r="F479" s="124">
        <f>F480</f>
        <v>304994.09999999998</v>
      </c>
      <c r="G479" s="124">
        <f t="shared" ref="G479:L479" si="118">G480</f>
        <v>249485.2</v>
      </c>
      <c r="H479" s="124">
        <f t="shared" si="118"/>
        <v>304994.09999999998</v>
      </c>
      <c r="I479" s="124">
        <f t="shared" si="118"/>
        <v>249485.2</v>
      </c>
      <c r="J479" s="503">
        <f t="shared" si="118"/>
        <v>295515.7</v>
      </c>
      <c r="K479" s="511">
        <f t="shared" si="112"/>
        <v>0.9689226775206472</v>
      </c>
      <c r="L479" s="243">
        <f t="shared" si="118"/>
        <v>241731.9</v>
      </c>
      <c r="M479" s="511">
        <f t="shared" si="114"/>
        <v>0.96892280584178936</v>
      </c>
      <c r="N479" s="116"/>
      <c r="P479" s="116"/>
      <c r="Q479" s="116"/>
    </row>
    <row r="480" spans="1:17" s="106" customFormat="1" ht="31.5" x14ac:dyDescent="0.25">
      <c r="A480" s="197" t="s">
        <v>597</v>
      </c>
      <c r="B480" s="148" t="s">
        <v>5</v>
      </c>
      <c r="C480" s="4" t="s">
        <v>7</v>
      </c>
      <c r="D480" s="211" t="s">
        <v>684</v>
      </c>
      <c r="E480" s="223"/>
      <c r="F480" s="124">
        <f t="shared" ref="F480:J481" si="119">F481</f>
        <v>304994.09999999998</v>
      </c>
      <c r="G480" s="243">
        <f>G481</f>
        <v>249485.2</v>
      </c>
      <c r="H480" s="124">
        <f t="shared" si="119"/>
        <v>304994.09999999998</v>
      </c>
      <c r="I480" s="243">
        <f>I481</f>
        <v>249485.2</v>
      </c>
      <c r="J480" s="503">
        <f t="shared" si="119"/>
        <v>295515.7</v>
      </c>
      <c r="K480" s="511">
        <f t="shared" si="112"/>
        <v>0.9689226775206472</v>
      </c>
      <c r="L480" s="243">
        <f>L481</f>
        <v>241731.9</v>
      </c>
      <c r="M480" s="511">
        <f t="shared" si="114"/>
        <v>0.96892280584178936</v>
      </c>
      <c r="N480" s="116"/>
      <c r="P480" s="116"/>
      <c r="Q480" s="116"/>
    </row>
    <row r="481" spans="1:17" s="106" customFormat="1" x14ac:dyDescent="0.25">
      <c r="A481" s="197" t="s">
        <v>121</v>
      </c>
      <c r="B481" s="148" t="s">
        <v>5</v>
      </c>
      <c r="C481" s="4" t="s">
        <v>7</v>
      </c>
      <c r="D481" s="211" t="s">
        <v>684</v>
      </c>
      <c r="E481" s="223" t="s">
        <v>37</v>
      </c>
      <c r="F481" s="124">
        <f t="shared" si="119"/>
        <v>304994.09999999998</v>
      </c>
      <c r="G481" s="243">
        <f>G482</f>
        <v>249485.2</v>
      </c>
      <c r="H481" s="124">
        <f t="shared" si="119"/>
        <v>304994.09999999998</v>
      </c>
      <c r="I481" s="243">
        <f>I482</f>
        <v>249485.2</v>
      </c>
      <c r="J481" s="503">
        <f t="shared" si="119"/>
        <v>295515.7</v>
      </c>
      <c r="K481" s="511">
        <f t="shared" si="112"/>
        <v>0.9689226775206472</v>
      </c>
      <c r="L481" s="243">
        <f>L482</f>
        <v>241731.9</v>
      </c>
      <c r="M481" s="511">
        <f t="shared" si="114"/>
        <v>0.96892280584178936</v>
      </c>
      <c r="N481" s="116"/>
      <c r="P481" s="116"/>
      <c r="Q481" s="116"/>
    </row>
    <row r="482" spans="1:17" s="106" customFormat="1" ht="31.5" x14ac:dyDescent="0.25">
      <c r="A482" s="197" t="s">
        <v>52</v>
      </c>
      <c r="B482" s="148" t="s">
        <v>5</v>
      </c>
      <c r="C482" s="4" t="s">
        <v>7</v>
      </c>
      <c r="D482" s="211" t="s">
        <v>684</v>
      </c>
      <c r="E482" s="223" t="s">
        <v>66</v>
      </c>
      <c r="F482" s="124">
        <f>'ведом. 2024-2026'!AD943</f>
        <v>304994.09999999998</v>
      </c>
      <c r="G482" s="243">
        <f>226896.8+19240.2+3348.2</f>
        <v>249485.2</v>
      </c>
      <c r="H482" s="124">
        <f>'ведом. 2024-2026'!AE943</f>
        <v>304994.09999999998</v>
      </c>
      <c r="I482" s="243">
        <f>226896.8+19240.2+3348.2</f>
        <v>249485.2</v>
      </c>
      <c r="J482" s="503">
        <f>'ведом. 2024-2026'!AF943</f>
        <v>295515.7</v>
      </c>
      <c r="K482" s="511">
        <f t="shared" si="112"/>
        <v>0.9689226775206472</v>
      </c>
      <c r="L482" s="243">
        <v>241731.9</v>
      </c>
      <c r="M482" s="511">
        <f t="shared" si="114"/>
        <v>0.96892280584178936</v>
      </c>
      <c r="N482" s="116"/>
      <c r="P482" s="116"/>
      <c r="Q482" s="116"/>
    </row>
    <row r="483" spans="1:17" s="106" customFormat="1" ht="31.5" x14ac:dyDescent="0.25">
      <c r="A483" s="199" t="s">
        <v>579</v>
      </c>
      <c r="B483" s="148" t="s">
        <v>5</v>
      </c>
      <c r="C483" s="4" t="s">
        <v>7</v>
      </c>
      <c r="D483" s="568" t="s">
        <v>251</v>
      </c>
      <c r="E483" s="223"/>
      <c r="F483" s="124">
        <f>F484</f>
        <v>293683</v>
      </c>
      <c r="G483" s="124"/>
      <c r="H483" s="124">
        <f>H484</f>
        <v>293683</v>
      </c>
      <c r="I483" s="124"/>
      <c r="J483" s="503">
        <f>J484</f>
        <v>284415.59999999998</v>
      </c>
      <c r="K483" s="511">
        <f t="shared" si="112"/>
        <v>0.96844420684888122</v>
      </c>
      <c r="L483" s="243"/>
      <c r="M483" s="511"/>
      <c r="N483" s="116"/>
      <c r="P483" s="116"/>
      <c r="Q483" s="116"/>
    </row>
    <row r="484" spans="1:17" s="106" customFormat="1" ht="31.5" x14ac:dyDescent="0.25">
      <c r="A484" s="201" t="s">
        <v>580</v>
      </c>
      <c r="B484" s="148" t="s">
        <v>5</v>
      </c>
      <c r="C484" s="4" t="s">
        <v>7</v>
      </c>
      <c r="D484" s="568" t="s">
        <v>252</v>
      </c>
      <c r="E484" s="220"/>
      <c r="F484" s="124">
        <f>F489+F504+F492+F507+F501+F495+F498+F485</f>
        <v>293683</v>
      </c>
      <c r="G484" s="124"/>
      <c r="H484" s="124">
        <f>H489+H504+H492+H507+H501+H495+H498+H485</f>
        <v>293683</v>
      </c>
      <c r="I484" s="124"/>
      <c r="J484" s="503">
        <f>J489+J504+J492+J507+J501+J495+J498+J485</f>
        <v>284415.59999999998</v>
      </c>
      <c r="K484" s="511">
        <f t="shared" si="112"/>
        <v>0.96844420684888122</v>
      </c>
      <c r="L484" s="243"/>
      <c r="M484" s="511"/>
      <c r="N484" s="116"/>
      <c r="P484" s="116"/>
      <c r="Q484" s="116"/>
    </row>
    <row r="485" spans="1:17" s="106" customFormat="1" x14ac:dyDescent="0.25">
      <c r="A485" s="201" t="s">
        <v>710</v>
      </c>
      <c r="B485" s="1" t="s">
        <v>5</v>
      </c>
      <c r="C485" s="4" t="s">
        <v>7</v>
      </c>
      <c r="D485" s="211" t="s">
        <v>711</v>
      </c>
      <c r="E485" s="220"/>
      <c r="F485" s="124">
        <f>F486</f>
        <v>1828.5</v>
      </c>
      <c r="G485" s="124"/>
      <c r="H485" s="124">
        <f>H486</f>
        <v>1828.5</v>
      </c>
      <c r="I485" s="124"/>
      <c r="J485" s="503">
        <f t="shared" ref="J485:J487" si="120">J486</f>
        <v>1759</v>
      </c>
      <c r="K485" s="511">
        <f t="shared" si="112"/>
        <v>0.96199070276182663</v>
      </c>
      <c r="L485" s="243"/>
      <c r="M485" s="511"/>
      <c r="N485" s="116"/>
      <c r="P485" s="116"/>
      <c r="Q485" s="116"/>
    </row>
    <row r="486" spans="1:17" s="106" customFormat="1" x14ac:dyDescent="0.25">
      <c r="A486" s="201" t="s">
        <v>712</v>
      </c>
      <c r="B486" s="1" t="s">
        <v>5</v>
      </c>
      <c r="C486" s="4" t="s">
        <v>7</v>
      </c>
      <c r="D486" s="211" t="s">
        <v>713</v>
      </c>
      <c r="E486" s="220"/>
      <c r="F486" s="124">
        <f>F487</f>
        <v>1828.5</v>
      </c>
      <c r="G486" s="124"/>
      <c r="H486" s="124">
        <f>H487</f>
        <v>1828.5</v>
      </c>
      <c r="I486" s="124"/>
      <c r="J486" s="503">
        <f t="shared" si="120"/>
        <v>1759</v>
      </c>
      <c r="K486" s="511">
        <f t="shared" si="112"/>
        <v>0.96199070276182663</v>
      </c>
      <c r="L486" s="243"/>
      <c r="M486" s="511"/>
      <c r="N486" s="116"/>
      <c r="P486" s="116"/>
      <c r="Q486" s="116"/>
    </row>
    <row r="487" spans="1:17" s="106" customFormat="1" x14ac:dyDescent="0.25">
      <c r="A487" s="197" t="s">
        <v>121</v>
      </c>
      <c r="B487" s="1" t="s">
        <v>5</v>
      </c>
      <c r="C487" s="4" t="s">
        <v>7</v>
      </c>
      <c r="D487" s="211" t="s">
        <v>713</v>
      </c>
      <c r="E487" s="221">
        <v>200</v>
      </c>
      <c r="F487" s="124">
        <f>F488</f>
        <v>1828.5</v>
      </c>
      <c r="G487" s="124"/>
      <c r="H487" s="124">
        <f>H488</f>
        <v>1828.5</v>
      </c>
      <c r="I487" s="124"/>
      <c r="J487" s="503">
        <f t="shared" si="120"/>
        <v>1759</v>
      </c>
      <c r="K487" s="511">
        <f t="shared" si="112"/>
        <v>0.96199070276182663</v>
      </c>
      <c r="L487" s="243"/>
      <c r="M487" s="511"/>
      <c r="N487" s="116"/>
      <c r="P487" s="116"/>
      <c r="Q487" s="116"/>
    </row>
    <row r="488" spans="1:17" s="106" customFormat="1" ht="31.5" x14ac:dyDescent="0.25">
      <c r="A488" s="197" t="s">
        <v>52</v>
      </c>
      <c r="B488" s="1" t="s">
        <v>5</v>
      </c>
      <c r="C488" s="4" t="s">
        <v>7</v>
      </c>
      <c r="D488" s="211" t="s">
        <v>713</v>
      </c>
      <c r="E488" s="220">
        <v>240</v>
      </c>
      <c r="F488" s="124">
        <f>'ведом. 2024-2026'!AD949</f>
        <v>1828.5</v>
      </c>
      <c r="G488" s="243"/>
      <c r="H488" s="124">
        <f>'ведом. 2024-2026'!AE949</f>
        <v>1828.5</v>
      </c>
      <c r="I488" s="243"/>
      <c r="J488" s="503">
        <f>'ведом. 2024-2026'!AF949</f>
        <v>1759</v>
      </c>
      <c r="K488" s="511">
        <f t="shared" si="112"/>
        <v>0.96199070276182663</v>
      </c>
      <c r="L488" s="243"/>
      <c r="M488" s="511"/>
      <c r="N488" s="116"/>
      <c r="P488" s="116"/>
      <c r="Q488" s="116"/>
    </row>
    <row r="489" spans="1:17" s="106" customFormat="1" x14ac:dyDescent="0.25">
      <c r="A489" s="218" t="s">
        <v>617</v>
      </c>
      <c r="B489" s="148" t="s">
        <v>5</v>
      </c>
      <c r="C489" s="4" t="s">
        <v>7</v>
      </c>
      <c r="D489" s="568" t="s">
        <v>616</v>
      </c>
      <c r="E489" s="220"/>
      <c r="F489" s="241">
        <f>F490</f>
        <v>32920</v>
      </c>
      <c r="G489" s="244"/>
      <c r="H489" s="241">
        <f>H490</f>
        <v>32920</v>
      </c>
      <c r="I489" s="244"/>
      <c r="J489" s="504">
        <f>J490</f>
        <v>32030.9</v>
      </c>
      <c r="K489" s="511">
        <f t="shared" si="112"/>
        <v>0.97299210206561371</v>
      </c>
      <c r="L489" s="244"/>
      <c r="M489" s="511"/>
      <c r="N489" s="116"/>
      <c r="P489" s="116"/>
      <c r="Q489" s="116"/>
    </row>
    <row r="490" spans="1:17" s="106" customFormat="1" x14ac:dyDescent="0.25">
      <c r="A490" s="197" t="s">
        <v>121</v>
      </c>
      <c r="B490" s="148" t="s">
        <v>5</v>
      </c>
      <c r="C490" s="4" t="s">
        <v>7</v>
      </c>
      <c r="D490" s="568" t="s">
        <v>616</v>
      </c>
      <c r="E490" s="221">
        <v>200</v>
      </c>
      <c r="F490" s="124">
        <f>F491</f>
        <v>32920</v>
      </c>
      <c r="G490" s="245"/>
      <c r="H490" s="124">
        <f>H491</f>
        <v>32920</v>
      </c>
      <c r="I490" s="245"/>
      <c r="J490" s="503">
        <f>J491</f>
        <v>32030.9</v>
      </c>
      <c r="K490" s="511">
        <f t="shared" si="112"/>
        <v>0.97299210206561371</v>
      </c>
      <c r="L490" s="245"/>
      <c r="M490" s="511"/>
      <c r="N490" s="116"/>
      <c r="P490" s="116"/>
      <c r="Q490" s="116"/>
    </row>
    <row r="491" spans="1:17" s="106" customFormat="1" ht="31.5" x14ac:dyDescent="0.25">
      <c r="A491" s="197" t="s">
        <v>52</v>
      </c>
      <c r="B491" s="148" t="s">
        <v>5</v>
      </c>
      <c r="C491" s="4" t="s">
        <v>7</v>
      </c>
      <c r="D491" s="568" t="s">
        <v>616</v>
      </c>
      <c r="E491" s="220">
        <v>240</v>
      </c>
      <c r="F491" s="124">
        <f>'ведом. 2024-2026'!AD952</f>
        <v>32920</v>
      </c>
      <c r="G491" s="245"/>
      <c r="H491" s="124">
        <f>'ведом. 2024-2026'!AE952</f>
        <v>32920</v>
      </c>
      <c r="I491" s="245"/>
      <c r="J491" s="503">
        <f>'ведом. 2024-2026'!AF952</f>
        <v>32030.9</v>
      </c>
      <c r="K491" s="511">
        <f t="shared" si="112"/>
        <v>0.97299210206561371</v>
      </c>
      <c r="L491" s="245"/>
      <c r="M491" s="511"/>
      <c r="N491" s="116"/>
      <c r="P491" s="116"/>
      <c r="Q491" s="116"/>
    </row>
    <row r="492" spans="1:17" s="106" customFormat="1" x14ac:dyDescent="0.25">
      <c r="A492" s="197" t="s">
        <v>467</v>
      </c>
      <c r="B492" s="148" t="s">
        <v>5</v>
      </c>
      <c r="C492" s="4" t="s">
        <v>7</v>
      </c>
      <c r="D492" s="568" t="s">
        <v>428</v>
      </c>
      <c r="E492" s="220"/>
      <c r="F492" s="124">
        <f>F493</f>
        <v>37173.5</v>
      </c>
      <c r="G492" s="243"/>
      <c r="H492" s="124">
        <f>H493</f>
        <v>37173.5</v>
      </c>
      <c r="I492" s="243"/>
      <c r="J492" s="503">
        <f>J493</f>
        <v>30730.9</v>
      </c>
      <c r="K492" s="511">
        <f t="shared" si="112"/>
        <v>0.82668836671284651</v>
      </c>
      <c r="L492" s="243"/>
      <c r="M492" s="511"/>
      <c r="N492" s="116"/>
      <c r="P492" s="116"/>
      <c r="Q492" s="116"/>
    </row>
    <row r="493" spans="1:17" s="106" customFormat="1" x14ac:dyDescent="0.25">
      <c r="A493" s="197" t="s">
        <v>121</v>
      </c>
      <c r="B493" s="148" t="s">
        <v>5</v>
      </c>
      <c r="C493" s="4" t="s">
        <v>7</v>
      </c>
      <c r="D493" s="568" t="s">
        <v>428</v>
      </c>
      <c r="E493" s="221">
        <v>200</v>
      </c>
      <c r="F493" s="124">
        <f>F494</f>
        <v>37173.5</v>
      </c>
      <c r="G493" s="243"/>
      <c r="H493" s="124">
        <f>H494</f>
        <v>37173.5</v>
      </c>
      <c r="I493" s="243"/>
      <c r="J493" s="503">
        <f>J494</f>
        <v>30730.9</v>
      </c>
      <c r="K493" s="511">
        <f t="shared" si="112"/>
        <v>0.82668836671284651</v>
      </c>
      <c r="L493" s="243"/>
      <c r="M493" s="511"/>
      <c r="N493" s="116"/>
      <c r="P493" s="116"/>
      <c r="Q493" s="116"/>
    </row>
    <row r="494" spans="1:17" s="106" customFormat="1" ht="31.5" x14ac:dyDescent="0.25">
      <c r="A494" s="197" t="s">
        <v>52</v>
      </c>
      <c r="B494" s="148" t="s">
        <v>5</v>
      </c>
      <c r="C494" s="4" t="s">
        <v>7</v>
      </c>
      <c r="D494" s="568" t="s">
        <v>428</v>
      </c>
      <c r="E494" s="220">
        <v>240</v>
      </c>
      <c r="F494" s="124">
        <f>'ведом. 2024-2026'!AD955</f>
        <v>37173.5</v>
      </c>
      <c r="G494" s="245"/>
      <c r="H494" s="124">
        <f>'ведом. 2024-2026'!AE955</f>
        <v>37173.5</v>
      </c>
      <c r="I494" s="245"/>
      <c r="J494" s="503">
        <f>'ведом. 2024-2026'!AF955</f>
        <v>30730.9</v>
      </c>
      <c r="K494" s="511">
        <f t="shared" si="112"/>
        <v>0.82668836671284651</v>
      </c>
      <c r="L494" s="245"/>
      <c r="M494" s="511"/>
      <c r="N494" s="116"/>
      <c r="P494" s="116"/>
      <c r="Q494" s="116"/>
    </row>
    <row r="495" spans="1:17" s="106" customFormat="1" ht="31.5" x14ac:dyDescent="0.25">
      <c r="A495" s="201" t="s">
        <v>703</v>
      </c>
      <c r="B495" s="148" t="s">
        <v>5</v>
      </c>
      <c r="C495" s="4" t="s">
        <v>7</v>
      </c>
      <c r="D495" s="211" t="s">
        <v>704</v>
      </c>
      <c r="E495" s="220"/>
      <c r="F495" s="124">
        <f>F496</f>
        <v>29244</v>
      </c>
      <c r="G495" s="124"/>
      <c r="H495" s="124">
        <f>H496</f>
        <v>29244</v>
      </c>
      <c r="I495" s="124"/>
      <c r="J495" s="503">
        <f t="shared" ref="J495:J496" si="121">J496</f>
        <v>27701.599999999999</v>
      </c>
      <c r="K495" s="511">
        <f t="shared" si="112"/>
        <v>0.94725755710573101</v>
      </c>
      <c r="L495" s="243"/>
      <c r="M495" s="511"/>
      <c r="N495" s="116"/>
      <c r="P495" s="116"/>
      <c r="Q495" s="116"/>
    </row>
    <row r="496" spans="1:17" s="106" customFormat="1" x14ac:dyDescent="0.25">
      <c r="A496" s="197" t="s">
        <v>121</v>
      </c>
      <c r="B496" s="148" t="s">
        <v>5</v>
      </c>
      <c r="C496" s="4" t="s">
        <v>7</v>
      </c>
      <c r="D496" s="211" t="s">
        <v>704</v>
      </c>
      <c r="E496" s="221">
        <v>200</v>
      </c>
      <c r="F496" s="124">
        <f>F497</f>
        <v>29244</v>
      </c>
      <c r="G496" s="243"/>
      <c r="H496" s="124">
        <f>H497</f>
        <v>29244</v>
      </c>
      <c r="I496" s="243"/>
      <c r="J496" s="503">
        <f t="shared" si="121"/>
        <v>27701.599999999999</v>
      </c>
      <c r="K496" s="511">
        <f t="shared" si="112"/>
        <v>0.94725755710573101</v>
      </c>
      <c r="L496" s="243"/>
      <c r="M496" s="511"/>
      <c r="N496" s="116"/>
      <c r="P496" s="116"/>
      <c r="Q496" s="116"/>
    </row>
    <row r="497" spans="1:17" s="106" customFormat="1" ht="31.5" x14ac:dyDescent="0.25">
      <c r="A497" s="197" t="s">
        <v>52</v>
      </c>
      <c r="B497" s="148" t="s">
        <v>5</v>
      </c>
      <c r="C497" s="4" t="s">
        <v>7</v>
      </c>
      <c r="D497" s="211" t="s">
        <v>704</v>
      </c>
      <c r="E497" s="220">
        <v>240</v>
      </c>
      <c r="F497" s="124">
        <f>'ведом. 2024-2026'!AD958</f>
        <v>29244</v>
      </c>
      <c r="G497" s="243"/>
      <c r="H497" s="124">
        <f>'ведом. 2024-2026'!AE958</f>
        <v>29244</v>
      </c>
      <c r="I497" s="243"/>
      <c r="J497" s="503">
        <f>'ведом. 2024-2026'!AF958</f>
        <v>27701.599999999999</v>
      </c>
      <c r="K497" s="511">
        <f t="shared" si="112"/>
        <v>0.94725755710573101</v>
      </c>
      <c r="L497" s="243"/>
      <c r="M497" s="511"/>
      <c r="N497" s="116"/>
      <c r="P497" s="116"/>
      <c r="Q497" s="116"/>
    </row>
    <row r="498" spans="1:17" s="106" customFormat="1" ht="31.5" x14ac:dyDescent="0.25">
      <c r="A498" s="197" t="s">
        <v>707</v>
      </c>
      <c r="B498" s="1" t="s">
        <v>5</v>
      </c>
      <c r="C498" s="4" t="s">
        <v>7</v>
      </c>
      <c r="D498" s="211" t="s">
        <v>706</v>
      </c>
      <c r="E498" s="220"/>
      <c r="F498" s="124">
        <f>F499</f>
        <v>14123.9</v>
      </c>
      <c r="G498" s="124"/>
      <c r="H498" s="124">
        <f>H499</f>
        <v>14123.9</v>
      </c>
      <c r="I498" s="124"/>
      <c r="J498" s="503">
        <f t="shared" ref="J498:J499" si="122">J499</f>
        <v>14047.8</v>
      </c>
      <c r="K498" s="511">
        <f t="shared" si="112"/>
        <v>0.99461196978171751</v>
      </c>
      <c r="L498" s="243"/>
      <c r="M498" s="511"/>
      <c r="N498" s="116"/>
      <c r="P498" s="116"/>
      <c r="Q498" s="116"/>
    </row>
    <row r="499" spans="1:17" s="106" customFormat="1" x14ac:dyDescent="0.25">
      <c r="A499" s="197" t="s">
        <v>121</v>
      </c>
      <c r="B499" s="1" t="s">
        <v>5</v>
      </c>
      <c r="C499" s="4" t="s">
        <v>7</v>
      </c>
      <c r="D499" s="211" t="s">
        <v>706</v>
      </c>
      <c r="E499" s="221">
        <v>200</v>
      </c>
      <c r="F499" s="124">
        <f>F500</f>
        <v>14123.9</v>
      </c>
      <c r="G499" s="124"/>
      <c r="H499" s="124">
        <f>H500</f>
        <v>14123.9</v>
      </c>
      <c r="I499" s="124"/>
      <c r="J499" s="503">
        <f t="shared" si="122"/>
        <v>14047.8</v>
      </c>
      <c r="K499" s="511">
        <f t="shared" si="112"/>
        <v>0.99461196978171751</v>
      </c>
      <c r="L499" s="243"/>
      <c r="M499" s="511"/>
      <c r="N499" s="116"/>
      <c r="P499" s="116"/>
      <c r="Q499" s="116"/>
    </row>
    <row r="500" spans="1:17" s="106" customFormat="1" ht="31.5" x14ac:dyDescent="0.25">
      <c r="A500" s="197" t="s">
        <v>52</v>
      </c>
      <c r="B500" s="1" t="s">
        <v>5</v>
      </c>
      <c r="C500" s="4" t="s">
        <v>7</v>
      </c>
      <c r="D500" s="211" t="s">
        <v>706</v>
      </c>
      <c r="E500" s="220">
        <v>240</v>
      </c>
      <c r="F500" s="124">
        <f>'ведом. 2024-2026'!AD961</f>
        <v>14123.9</v>
      </c>
      <c r="G500" s="245"/>
      <c r="H500" s="124">
        <f>'ведом. 2024-2026'!AE961</f>
        <v>14123.9</v>
      </c>
      <c r="I500" s="245"/>
      <c r="J500" s="503">
        <f>'ведом. 2024-2026'!AF961</f>
        <v>14047.8</v>
      </c>
      <c r="K500" s="511">
        <f t="shared" si="112"/>
        <v>0.99461196978171751</v>
      </c>
      <c r="L500" s="245"/>
      <c r="M500" s="511"/>
      <c r="N500" s="116"/>
      <c r="P500" s="116"/>
      <c r="Q500" s="116"/>
    </row>
    <row r="501" spans="1:17" s="106" customFormat="1" x14ac:dyDescent="0.25">
      <c r="A501" s="197" t="s">
        <v>701</v>
      </c>
      <c r="B501" s="1" t="s">
        <v>5</v>
      </c>
      <c r="C501" s="4" t="s">
        <v>7</v>
      </c>
      <c r="D501" s="211" t="s">
        <v>702</v>
      </c>
      <c r="E501" s="220"/>
      <c r="F501" s="124">
        <f>F502</f>
        <v>13208.900000000001</v>
      </c>
      <c r="G501" s="124"/>
      <c r="H501" s="124">
        <f>H502</f>
        <v>13208.900000000001</v>
      </c>
      <c r="I501" s="124"/>
      <c r="J501" s="503">
        <f t="shared" ref="J501:J502" si="123">J502</f>
        <v>13159.7</v>
      </c>
      <c r="K501" s="511">
        <f t="shared" si="112"/>
        <v>0.99627523866483958</v>
      </c>
      <c r="L501" s="243"/>
      <c r="M501" s="511"/>
      <c r="N501" s="116"/>
      <c r="P501" s="116"/>
      <c r="Q501" s="116"/>
    </row>
    <row r="502" spans="1:17" s="106" customFormat="1" x14ac:dyDescent="0.25">
      <c r="A502" s="197" t="s">
        <v>121</v>
      </c>
      <c r="B502" s="1" t="s">
        <v>5</v>
      </c>
      <c r="C502" s="4" t="s">
        <v>7</v>
      </c>
      <c r="D502" s="211" t="s">
        <v>702</v>
      </c>
      <c r="E502" s="221">
        <v>200</v>
      </c>
      <c r="F502" s="124">
        <f>F503</f>
        <v>13208.900000000001</v>
      </c>
      <c r="G502" s="124"/>
      <c r="H502" s="124">
        <f>H503</f>
        <v>13208.900000000001</v>
      </c>
      <c r="I502" s="124"/>
      <c r="J502" s="503">
        <f t="shared" si="123"/>
        <v>13159.7</v>
      </c>
      <c r="K502" s="511">
        <f t="shared" si="112"/>
        <v>0.99627523866483958</v>
      </c>
      <c r="L502" s="243"/>
      <c r="M502" s="511"/>
      <c r="N502" s="116"/>
      <c r="P502" s="116"/>
      <c r="Q502" s="116"/>
    </row>
    <row r="503" spans="1:17" s="106" customFormat="1" ht="31.5" x14ac:dyDescent="0.25">
      <c r="A503" s="197" t="s">
        <v>52</v>
      </c>
      <c r="B503" s="1" t="s">
        <v>5</v>
      </c>
      <c r="C503" s="4" t="s">
        <v>7</v>
      </c>
      <c r="D503" s="211" t="s">
        <v>702</v>
      </c>
      <c r="E503" s="220">
        <v>240</v>
      </c>
      <c r="F503" s="124">
        <f>'ведом. 2024-2026'!AD964</f>
        <v>13208.900000000001</v>
      </c>
      <c r="G503" s="245"/>
      <c r="H503" s="124">
        <f>'ведом. 2024-2026'!AE964</f>
        <v>13208.900000000001</v>
      </c>
      <c r="I503" s="245"/>
      <c r="J503" s="503">
        <f>'ведом. 2024-2026'!AF964</f>
        <v>13159.7</v>
      </c>
      <c r="K503" s="511">
        <f t="shared" si="112"/>
        <v>0.99627523866483958</v>
      </c>
      <c r="L503" s="245"/>
      <c r="M503" s="511"/>
      <c r="N503" s="116"/>
      <c r="P503" s="116"/>
      <c r="Q503" s="116"/>
    </row>
    <row r="504" spans="1:17" s="106" customFormat="1" ht="31.5" x14ac:dyDescent="0.25">
      <c r="A504" s="200" t="s">
        <v>626</v>
      </c>
      <c r="B504" s="148" t="s">
        <v>5</v>
      </c>
      <c r="C504" s="4" t="s">
        <v>7</v>
      </c>
      <c r="D504" s="568" t="s">
        <v>446</v>
      </c>
      <c r="E504" s="220"/>
      <c r="F504" s="124">
        <f>F505</f>
        <v>163866.70000000001</v>
      </c>
      <c r="G504" s="245"/>
      <c r="H504" s="124">
        <f>H505</f>
        <v>163866.70000000001</v>
      </c>
      <c r="I504" s="245"/>
      <c r="J504" s="503">
        <f>J505</f>
        <v>163866.70000000001</v>
      </c>
      <c r="K504" s="511">
        <f t="shared" si="112"/>
        <v>1</v>
      </c>
      <c r="L504" s="245"/>
      <c r="M504" s="511"/>
      <c r="N504" s="116"/>
      <c r="P504" s="116"/>
      <c r="Q504" s="116"/>
    </row>
    <row r="505" spans="1:17" s="106" customFormat="1" ht="31.5" x14ac:dyDescent="0.25">
      <c r="A505" s="268" t="s">
        <v>61</v>
      </c>
      <c r="B505" s="148" t="s">
        <v>5</v>
      </c>
      <c r="C505" s="4" t="s">
        <v>7</v>
      </c>
      <c r="D505" s="568" t="s">
        <v>446</v>
      </c>
      <c r="E505" s="221">
        <v>600</v>
      </c>
      <c r="F505" s="124">
        <f>F506</f>
        <v>163866.70000000001</v>
      </c>
      <c r="G505" s="245"/>
      <c r="H505" s="124">
        <f>H506</f>
        <v>163866.70000000001</v>
      </c>
      <c r="I505" s="245"/>
      <c r="J505" s="503">
        <f>J506</f>
        <v>163866.70000000001</v>
      </c>
      <c r="K505" s="511">
        <f t="shared" si="112"/>
        <v>1</v>
      </c>
      <c r="L505" s="245"/>
      <c r="M505" s="511"/>
      <c r="N505" s="116"/>
      <c r="P505" s="116"/>
      <c r="Q505" s="116"/>
    </row>
    <row r="506" spans="1:17" s="106" customFormat="1" x14ac:dyDescent="0.25">
      <c r="A506" s="268" t="s">
        <v>62</v>
      </c>
      <c r="B506" s="148" t="s">
        <v>5</v>
      </c>
      <c r="C506" s="4" t="s">
        <v>7</v>
      </c>
      <c r="D506" s="568" t="s">
        <v>446</v>
      </c>
      <c r="E506" s="220">
        <v>610</v>
      </c>
      <c r="F506" s="124">
        <f>'ведом. 2024-2026'!AD313</f>
        <v>163866.70000000001</v>
      </c>
      <c r="G506" s="245"/>
      <c r="H506" s="124">
        <f>'ведом. 2024-2026'!AE313</f>
        <v>163866.70000000001</v>
      </c>
      <c r="I506" s="245"/>
      <c r="J506" s="503">
        <f>'ведом. 2024-2026'!AF313</f>
        <v>163866.70000000001</v>
      </c>
      <c r="K506" s="511">
        <f t="shared" si="112"/>
        <v>1</v>
      </c>
      <c r="L506" s="245"/>
      <c r="M506" s="511"/>
      <c r="N506" s="116"/>
      <c r="P506" s="116"/>
      <c r="Q506" s="116"/>
    </row>
    <row r="507" spans="1:17" s="106" customFormat="1" x14ac:dyDescent="0.25">
      <c r="A507" s="197" t="s">
        <v>457</v>
      </c>
      <c r="B507" s="148" t="s">
        <v>5</v>
      </c>
      <c r="C507" s="4" t="s">
        <v>7</v>
      </c>
      <c r="D507" s="211" t="s">
        <v>672</v>
      </c>
      <c r="E507" s="220"/>
      <c r="F507" s="124">
        <f>F508</f>
        <v>1317.5</v>
      </c>
      <c r="G507" s="124"/>
      <c r="H507" s="124">
        <f>H508</f>
        <v>1317.5</v>
      </c>
      <c r="I507" s="124"/>
      <c r="J507" s="503">
        <f t="shared" ref="J507:J508" si="124">J508</f>
        <v>1119</v>
      </c>
      <c r="K507" s="511">
        <f t="shared" si="112"/>
        <v>0.84933586337760913</v>
      </c>
      <c r="L507" s="243"/>
      <c r="M507" s="511"/>
      <c r="N507" s="116"/>
      <c r="P507" s="116"/>
      <c r="Q507" s="116"/>
    </row>
    <row r="508" spans="1:17" s="106" customFormat="1" x14ac:dyDescent="0.25">
      <c r="A508" s="197" t="s">
        <v>121</v>
      </c>
      <c r="B508" s="148" t="s">
        <v>5</v>
      </c>
      <c r="C508" s="4" t="s">
        <v>7</v>
      </c>
      <c r="D508" s="211" t="s">
        <v>672</v>
      </c>
      <c r="E508" s="221">
        <v>200</v>
      </c>
      <c r="F508" s="124">
        <f>F509</f>
        <v>1317.5</v>
      </c>
      <c r="G508" s="124"/>
      <c r="H508" s="124">
        <f>H509</f>
        <v>1317.5</v>
      </c>
      <c r="I508" s="124"/>
      <c r="J508" s="503">
        <f t="shared" si="124"/>
        <v>1119</v>
      </c>
      <c r="K508" s="511">
        <f t="shared" si="112"/>
        <v>0.84933586337760913</v>
      </c>
      <c r="L508" s="243"/>
      <c r="M508" s="511"/>
      <c r="N508" s="116"/>
      <c r="P508" s="116"/>
      <c r="Q508" s="116"/>
    </row>
    <row r="509" spans="1:17" s="106" customFormat="1" ht="31.5" x14ac:dyDescent="0.25">
      <c r="A509" s="197" t="s">
        <v>52</v>
      </c>
      <c r="B509" s="148" t="s">
        <v>5</v>
      </c>
      <c r="C509" s="4" t="s">
        <v>7</v>
      </c>
      <c r="D509" s="211" t="s">
        <v>672</v>
      </c>
      <c r="E509" s="220">
        <v>240</v>
      </c>
      <c r="F509" s="124">
        <f>'ведом. 2024-2026'!AD967</f>
        <v>1317.5</v>
      </c>
      <c r="G509" s="227"/>
      <c r="H509" s="124">
        <f>'ведом. 2024-2026'!AE967</f>
        <v>1317.5</v>
      </c>
      <c r="I509" s="227"/>
      <c r="J509" s="503">
        <f>'ведом. 2024-2026'!AF967</f>
        <v>1119</v>
      </c>
      <c r="K509" s="511">
        <f t="shared" si="112"/>
        <v>0.84933586337760913</v>
      </c>
      <c r="L509" s="243"/>
      <c r="M509" s="511"/>
      <c r="N509" s="116"/>
      <c r="P509" s="116"/>
      <c r="Q509" s="116"/>
    </row>
    <row r="510" spans="1:17" s="106" customFormat="1" x14ac:dyDescent="0.25">
      <c r="A510" s="268" t="s">
        <v>27</v>
      </c>
      <c r="B510" s="148" t="s">
        <v>5</v>
      </c>
      <c r="C510" s="4" t="s">
        <v>5</v>
      </c>
      <c r="D510" s="458"/>
      <c r="E510" s="221"/>
      <c r="F510" s="123">
        <f>F517+F511</f>
        <v>29283.300000000003</v>
      </c>
      <c r="G510" s="123">
        <f t="shared" ref="G510:L510" si="125">G517+G511</f>
        <v>1474</v>
      </c>
      <c r="H510" s="123">
        <f>H517+H511</f>
        <v>29283.100000000006</v>
      </c>
      <c r="I510" s="123">
        <f t="shared" ref="I510" si="126">I517+I511</f>
        <v>1474</v>
      </c>
      <c r="J510" s="313">
        <f t="shared" si="125"/>
        <v>28553.399999999998</v>
      </c>
      <c r="K510" s="511">
        <f t="shared" si="112"/>
        <v>0.97508119017453732</v>
      </c>
      <c r="L510" s="227">
        <f t="shared" si="125"/>
        <v>1474</v>
      </c>
      <c r="M510" s="511">
        <f t="shared" si="114"/>
        <v>1</v>
      </c>
      <c r="N510" s="116"/>
      <c r="P510" s="116"/>
      <c r="Q510" s="116"/>
    </row>
    <row r="511" spans="1:17" s="106" customFormat="1" x14ac:dyDescent="0.25">
      <c r="A511" s="354" t="s">
        <v>187</v>
      </c>
      <c r="B511" s="349" t="s">
        <v>5</v>
      </c>
      <c r="C511" s="350" t="s">
        <v>5</v>
      </c>
      <c r="D511" s="570" t="s">
        <v>113</v>
      </c>
      <c r="E511" s="588"/>
      <c r="F511" s="123">
        <f>F512</f>
        <v>181.4</v>
      </c>
      <c r="G511" s="123"/>
      <c r="H511" s="123">
        <f>H512</f>
        <v>181.4</v>
      </c>
      <c r="I511" s="123"/>
      <c r="J511" s="313">
        <f t="shared" ref="J511:J515" si="127">J512</f>
        <v>161.30000000000001</v>
      </c>
      <c r="K511" s="511">
        <f t="shared" si="112"/>
        <v>0.88919514884233741</v>
      </c>
      <c r="L511" s="227"/>
      <c r="M511" s="511"/>
      <c r="N511" s="116"/>
      <c r="P511" s="116"/>
      <c r="Q511" s="116"/>
    </row>
    <row r="512" spans="1:17" s="106" customFormat="1" x14ac:dyDescent="0.25">
      <c r="A512" s="354" t="s">
        <v>191</v>
      </c>
      <c r="B512" s="349" t="s">
        <v>5</v>
      </c>
      <c r="C512" s="350" t="s">
        <v>5</v>
      </c>
      <c r="D512" s="570" t="s">
        <v>192</v>
      </c>
      <c r="E512" s="588"/>
      <c r="F512" s="123">
        <f>F513</f>
        <v>181.4</v>
      </c>
      <c r="G512" s="123"/>
      <c r="H512" s="123">
        <f>H513</f>
        <v>181.4</v>
      </c>
      <c r="I512" s="123"/>
      <c r="J512" s="313">
        <f t="shared" si="127"/>
        <v>161.30000000000001</v>
      </c>
      <c r="K512" s="511">
        <f t="shared" si="112"/>
        <v>0.88919514884233741</v>
      </c>
      <c r="L512" s="227"/>
      <c r="M512" s="511"/>
      <c r="N512" s="116"/>
      <c r="P512" s="116"/>
      <c r="Q512" s="116"/>
    </row>
    <row r="513" spans="1:17" s="106" customFormat="1" ht="31.5" x14ac:dyDescent="0.25">
      <c r="A513" s="347" t="s">
        <v>572</v>
      </c>
      <c r="B513" s="349" t="s">
        <v>5</v>
      </c>
      <c r="C513" s="350" t="s">
        <v>5</v>
      </c>
      <c r="D513" s="571" t="s">
        <v>573</v>
      </c>
      <c r="E513" s="427"/>
      <c r="F513" s="123">
        <f>F514</f>
        <v>181.4</v>
      </c>
      <c r="G513" s="123"/>
      <c r="H513" s="123">
        <f>H514</f>
        <v>181.4</v>
      </c>
      <c r="I513" s="123"/>
      <c r="J513" s="313">
        <f t="shared" si="127"/>
        <v>161.30000000000001</v>
      </c>
      <c r="K513" s="511">
        <f t="shared" si="112"/>
        <v>0.88919514884233741</v>
      </c>
      <c r="L513" s="227"/>
      <c r="M513" s="511"/>
      <c r="N513" s="116"/>
      <c r="P513" s="116"/>
      <c r="Q513" s="116"/>
    </row>
    <row r="514" spans="1:17" s="106" customFormat="1" ht="78.75" x14ac:dyDescent="0.25">
      <c r="A514" s="347" t="s">
        <v>432</v>
      </c>
      <c r="B514" s="349" t="s">
        <v>5</v>
      </c>
      <c r="C514" s="350" t="s">
        <v>5</v>
      </c>
      <c r="D514" s="570" t="s">
        <v>574</v>
      </c>
      <c r="E514" s="427"/>
      <c r="F514" s="123">
        <f>F515</f>
        <v>181.4</v>
      </c>
      <c r="G514" s="123"/>
      <c r="H514" s="123">
        <f>H515</f>
        <v>181.4</v>
      </c>
      <c r="I514" s="123"/>
      <c r="J514" s="313">
        <f t="shared" si="127"/>
        <v>161.30000000000001</v>
      </c>
      <c r="K514" s="511">
        <f t="shared" si="112"/>
        <v>0.88919514884233741</v>
      </c>
      <c r="L514" s="227"/>
      <c r="M514" s="511"/>
      <c r="N514" s="116"/>
      <c r="P514" s="116"/>
      <c r="Q514" s="116"/>
    </row>
    <row r="515" spans="1:17" s="106" customFormat="1" x14ac:dyDescent="0.25">
      <c r="A515" s="347" t="s">
        <v>121</v>
      </c>
      <c r="B515" s="349" t="s">
        <v>5</v>
      </c>
      <c r="C515" s="350" t="s">
        <v>5</v>
      </c>
      <c r="D515" s="570" t="s">
        <v>574</v>
      </c>
      <c r="E515" s="427">
        <v>200</v>
      </c>
      <c r="F515" s="123">
        <f>F516</f>
        <v>181.4</v>
      </c>
      <c r="G515" s="123"/>
      <c r="H515" s="123">
        <f>H516</f>
        <v>181.4</v>
      </c>
      <c r="I515" s="123"/>
      <c r="J515" s="313">
        <f t="shared" si="127"/>
        <v>161.30000000000001</v>
      </c>
      <c r="K515" s="511">
        <f t="shared" si="112"/>
        <v>0.88919514884233741</v>
      </c>
      <c r="L515" s="227"/>
      <c r="M515" s="511"/>
      <c r="N515" s="116"/>
      <c r="P515" s="116"/>
      <c r="Q515" s="116"/>
    </row>
    <row r="516" spans="1:17" s="106" customFormat="1" ht="31.5" x14ac:dyDescent="0.25">
      <c r="A516" s="347" t="s">
        <v>52</v>
      </c>
      <c r="B516" s="349" t="s">
        <v>5</v>
      </c>
      <c r="C516" s="350" t="s">
        <v>5</v>
      </c>
      <c r="D516" s="570" t="s">
        <v>574</v>
      </c>
      <c r="E516" s="427">
        <v>240</v>
      </c>
      <c r="F516" s="123">
        <f>'ведом. 2024-2026'!AD974</f>
        <v>181.4</v>
      </c>
      <c r="G516" s="227"/>
      <c r="H516" s="123">
        <f>'ведом. 2024-2026'!AE974</f>
        <v>181.4</v>
      </c>
      <c r="I516" s="227"/>
      <c r="J516" s="313">
        <f>'ведом. 2024-2026'!AF974</f>
        <v>161.30000000000001</v>
      </c>
      <c r="K516" s="511">
        <f t="shared" si="112"/>
        <v>0.88919514884233741</v>
      </c>
      <c r="L516" s="227"/>
      <c r="M516" s="511"/>
      <c r="N516" s="116"/>
      <c r="P516" s="116"/>
      <c r="Q516" s="116"/>
    </row>
    <row r="517" spans="1:17" s="106" customFormat="1" x14ac:dyDescent="0.25">
      <c r="A517" s="199" t="s">
        <v>249</v>
      </c>
      <c r="B517" s="148" t="s">
        <v>5</v>
      </c>
      <c r="C517" s="4" t="s">
        <v>5</v>
      </c>
      <c r="D517" s="568" t="s">
        <v>250</v>
      </c>
      <c r="E517" s="220"/>
      <c r="F517" s="123">
        <f t="shared" ref="F517:L517" si="128">F518+F525</f>
        <v>29101.9</v>
      </c>
      <c r="G517" s="227">
        <f t="shared" si="128"/>
        <v>1474</v>
      </c>
      <c r="H517" s="123">
        <f t="shared" ref="H517:I517" si="129">H518+H525</f>
        <v>29101.700000000004</v>
      </c>
      <c r="I517" s="227">
        <f t="shared" si="129"/>
        <v>1474</v>
      </c>
      <c r="J517" s="313">
        <f t="shared" si="128"/>
        <v>28392.1</v>
      </c>
      <c r="K517" s="511">
        <f t="shared" si="112"/>
        <v>0.97561654473793602</v>
      </c>
      <c r="L517" s="227">
        <f t="shared" si="128"/>
        <v>1474</v>
      </c>
      <c r="M517" s="511">
        <f t="shared" si="114"/>
        <v>1</v>
      </c>
      <c r="N517" s="116"/>
      <c r="P517" s="116"/>
      <c r="Q517" s="116"/>
    </row>
    <row r="518" spans="1:17" s="106" customFormat="1" ht="31.5" x14ac:dyDescent="0.25">
      <c r="A518" s="199" t="s">
        <v>579</v>
      </c>
      <c r="B518" s="148" t="s">
        <v>5</v>
      </c>
      <c r="C518" s="4" t="s">
        <v>5</v>
      </c>
      <c r="D518" s="568" t="s">
        <v>251</v>
      </c>
      <c r="E518" s="220"/>
      <c r="F518" s="123">
        <f>F519</f>
        <v>1474</v>
      </c>
      <c r="G518" s="227">
        <f t="shared" ref="G518:L519" si="130">G519</f>
        <v>1474</v>
      </c>
      <c r="H518" s="123">
        <f>H519</f>
        <v>1474</v>
      </c>
      <c r="I518" s="227">
        <f t="shared" si="130"/>
        <v>1474</v>
      </c>
      <c r="J518" s="313">
        <f t="shared" si="130"/>
        <v>1474</v>
      </c>
      <c r="K518" s="511">
        <f t="shared" si="112"/>
        <v>1</v>
      </c>
      <c r="L518" s="227">
        <f t="shared" si="130"/>
        <v>1474</v>
      </c>
      <c r="M518" s="511">
        <f t="shared" si="114"/>
        <v>1</v>
      </c>
      <c r="N518" s="116"/>
      <c r="P518" s="116"/>
      <c r="Q518" s="116"/>
    </row>
    <row r="519" spans="1:17" s="106" customFormat="1" ht="31.5" x14ac:dyDescent="0.25">
      <c r="A519" s="201" t="s">
        <v>361</v>
      </c>
      <c r="B519" s="148" t="s">
        <v>5</v>
      </c>
      <c r="C519" s="4" t="s">
        <v>5</v>
      </c>
      <c r="D519" s="568" t="s">
        <v>252</v>
      </c>
      <c r="E519" s="220"/>
      <c r="F519" s="123">
        <f>F520</f>
        <v>1474</v>
      </c>
      <c r="G519" s="227">
        <f t="shared" si="130"/>
        <v>1474</v>
      </c>
      <c r="H519" s="123">
        <f>H520</f>
        <v>1474</v>
      </c>
      <c r="I519" s="227">
        <f t="shared" si="130"/>
        <v>1474</v>
      </c>
      <c r="J519" s="313">
        <f t="shared" si="130"/>
        <v>1474</v>
      </c>
      <c r="K519" s="511">
        <f t="shared" si="112"/>
        <v>1</v>
      </c>
      <c r="L519" s="227">
        <f t="shared" si="130"/>
        <v>1474</v>
      </c>
      <c r="M519" s="511">
        <f t="shared" si="114"/>
        <v>1</v>
      </c>
      <c r="N519" s="116"/>
      <c r="P519" s="116"/>
      <c r="Q519" s="116"/>
    </row>
    <row r="520" spans="1:17" s="106" customFormat="1" ht="31.5" x14ac:dyDescent="0.25">
      <c r="A520" s="216" t="s">
        <v>340</v>
      </c>
      <c r="B520" s="148" t="s">
        <v>5</v>
      </c>
      <c r="C520" s="4" t="s">
        <v>5</v>
      </c>
      <c r="D520" s="568" t="s">
        <v>582</v>
      </c>
      <c r="E520" s="220"/>
      <c r="F520" s="123">
        <f t="shared" ref="F520:L520" si="131">F521+F523</f>
        <v>1474</v>
      </c>
      <c r="G520" s="227">
        <f t="shared" si="131"/>
        <v>1474</v>
      </c>
      <c r="H520" s="123">
        <f t="shared" ref="H520:I520" si="132">H521+H523</f>
        <v>1474</v>
      </c>
      <c r="I520" s="227">
        <f t="shared" si="132"/>
        <v>1474</v>
      </c>
      <c r="J520" s="313">
        <f t="shared" si="131"/>
        <v>1474</v>
      </c>
      <c r="K520" s="511">
        <f t="shared" si="112"/>
        <v>1</v>
      </c>
      <c r="L520" s="227">
        <f t="shared" si="131"/>
        <v>1474</v>
      </c>
      <c r="M520" s="511">
        <f t="shared" si="114"/>
        <v>1</v>
      </c>
      <c r="N520" s="116"/>
      <c r="P520" s="116"/>
      <c r="Q520" s="116"/>
    </row>
    <row r="521" spans="1:17" s="106" customFormat="1" ht="47.25" x14ac:dyDescent="0.25">
      <c r="A521" s="216" t="s">
        <v>41</v>
      </c>
      <c r="B521" s="148" t="s">
        <v>5</v>
      </c>
      <c r="C521" s="4" t="s">
        <v>5</v>
      </c>
      <c r="D521" s="568" t="s">
        <v>582</v>
      </c>
      <c r="E521" s="220">
        <v>100</v>
      </c>
      <c r="F521" s="123">
        <f t="shared" ref="F521:L521" si="133">F522</f>
        <v>1421</v>
      </c>
      <c r="G521" s="227">
        <f t="shared" si="133"/>
        <v>1421</v>
      </c>
      <c r="H521" s="123">
        <f t="shared" si="133"/>
        <v>1421</v>
      </c>
      <c r="I521" s="227">
        <f t="shared" si="133"/>
        <v>1421</v>
      </c>
      <c r="J521" s="313">
        <f t="shared" si="133"/>
        <v>1421</v>
      </c>
      <c r="K521" s="511">
        <f t="shared" si="112"/>
        <v>1</v>
      </c>
      <c r="L521" s="227">
        <f t="shared" si="133"/>
        <v>1421</v>
      </c>
      <c r="M521" s="511">
        <f t="shared" si="114"/>
        <v>1</v>
      </c>
      <c r="N521" s="116"/>
      <c r="P521" s="116"/>
      <c r="Q521" s="116"/>
    </row>
    <row r="522" spans="1:17" s="106" customFormat="1" x14ac:dyDescent="0.25">
      <c r="A522" s="216" t="s">
        <v>97</v>
      </c>
      <c r="B522" s="148" t="s">
        <v>5</v>
      </c>
      <c r="C522" s="4" t="s">
        <v>5</v>
      </c>
      <c r="D522" s="568" t="s">
        <v>582</v>
      </c>
      <c r="E522" s="220">
        <v>120</v>
      </c>
      <c r="F522" s="123">
        <f>'ведом. 2024-2026'!AD980</f>
        <v>1421</v>
      </c>
      <c r="G522" s="227">
        <f>F522</f>
        <v>1421</v>
      </c>
      <c r="H522" s="123">
        <f>'ведом. 2024-2026'!AE980</f>
        <v>1421</v>
      </c>
      <c r="I522" s="227">
        <f>H522</f>
        <v>1421</v>
      </c>
      <c r="J522" s="313">
        <f>'ведом. 2024-2026'!AF980</f>
        <v>1421</v>
      </c>
      <c r="K522" s="511">
        <f t="shared" si="112"/>
        <v>1</v>
      </c>
      <c r="L522" s="227">
        <v>1421</v>
      </c>
      <c r="M522" s="511">
        <f t="shared" si="114"/>
        <v>1</v>
      </c>
      <c r="N522" s="116"/>
      <c r="P522" s="116"/>
      <c r="Q522" s="116"/>
    </row>
    <row r="523" spans="1:17" s="106" customFormat="1" x14ac:dyDescent="0.25">
      <c r="A523" s="216" t="s">
        <v>121</v>
      </c>
      <c r="B523" s="148" t="s">
        <v>5</v>
      </c>
      <c r="C523" s="4" t="s">
        <v>5</v>
      </c>
      <c r="D523" s="568" t="s">
        <v>582</v>
      </c>
      <c r="E523" s="220">
        <v>200</v>
      </c>
      <c r="F523" s="123">
        <f t="shared" ref="F523:L523" si="134">F524</f>
        <v>53</v>
      </c>
      <c r="G523" s="227">
        <f t="shared" si="134"/>
        <v>53</v>
      </c>
      <c r="H523" s="123">
        <f t="shared" si="134"/>
        <v>53</v>
      </c>
      <c r="I523" s="227">
        <f t="shared" si="134"/>
        <v>53</v>
      </c>
      <c r="J523" s="313">
        <f t="shared" si="134"/>
        <v>53</v>
      </c>
      <c r="K523" s="511">
        <f t="shared" si="112"/>
        <v>1</v>
      </c>
      <c r="L523" s="227">
        <f t="shared" si="134"/>
        <v>53</v>
      </c>
      <c r="M523" s="511">
        <f t="shared" si="114"/>
        <v>1</v>
      </c>
      <c r="N523" s="116"/>
      <c r="P523" s="116"/>
      <c r="Q523" s="116"/>
    </row>
    <row r="524" spans="1:17" s="106" customFormat="1" ht="31.5" x14ac:dyDescent="0.25">
      <c r="A524" s="216" t="s">
        <v>52</v>
      </c>
      <c r="B524" s="148" t="s">
        <v>5</v>
      </c>
      <c r="C524" s="4" t="s">
        <v>5</v>
      </c>
      <c r="D524" s="568" t="s">
        <v>582</v>
      </c>
      <c r="E524" s="220">
        <v>240</v>
      </c>
      <c r="F524" s="123">
        <f>'ведом. 2024-2026'!AD982</f>
        <v>53</v>
      </c>
      <c r="G524" s="227">
        <f>F524</f>
        <v>53</v>
      </c>
      <c r="H524" s="123">
        <f>'ведом. 2024-2026'!AE982</f>
        <v>53</v>
      </c>
      <c r="I524" s="227">
        <f>H524</f>
        <v>53</v>
      </c>
      <c r="J524" s="313">
        <f>'ведом. 2024-2026'!AF982</f>
        <v>53</v>
      </c>
      <c r="K524" s="511">
        <f t="shared" ref="K524:K587" si="135">J524/H524</f>
        <v>1</v>
      </c>
      <c r="L524" s="227">
        <f>J524</f>
        <v>53</v>
      </c>
      <c r="M524" s="511">
        <f t="shared" ref="M524:M587" si="136">L524/I524</f>
        <v>1</v>
      </c>
      <c r="N524" s="116"/>
      <c r="P524" s="116"/>
      <c r="Q524" s="116"/>
    </row>
    <row r="525" spans="1:17" s="106" customFormat="1" x14ac:dyDescent="0.25">
      <c r="A525" s="199" t="s">
        <v>191</v>
      </c>
      <c r="B525" s="148" t="s">
        <v>5</v>
      </c>
      <c r="C525" s="4" t="s">
        <v>5</v>
      </c>
      <c r="D525" s="568" t="s">
        <v>331</v>
      </c>
      <c r="E525" s="220"/>
      <c r="F525" s="123">
        <f t="shared" ref="F525:J526" si="137">F526</f>
        <v>27627.9</v>
      </c>
      <c r="G525" s="227"/>
      <c r="H525" s="123">
        <f t="shared" si="137"/>
        <v>27627.700000000004</v>
      </c>
      <c r="I525" s="227"/>
      <c r="J525" s="313">
        <f t="shared" si="137"/>
        <v>26918.1</v>
      </c>
      <c r="K525" s="511">
        <f t="shared" si="135"/>
        <v>0.97431563249926678</v>
      </c>
      <c r="L525" s="227"/>
      <c r="M525" s="511"/>
      <c r="N525" s="116"/>
      <c r="P525" s="116"/>
      <c r="Q525" s="116"/>
    </row>
    <row r="526" spans="1:17" s="106" customFormat="1" ht="31.5" x14ac:dyDescent="0.25">
      <c r="A526" s="199" t="s">
        <v>193</v>
      </c>
      <c r="B526" s="148" t="s">
        <v>5</v>
      </c>
      <c r="C526" s="4" t="s">
        <v>5</v>
      </c>
      <c r="D526" s="568" t="s">
        <v>334</v>
      </c>
      <c r="E526" s="220"/>
      <c r="F526" s="123">
        <f>F527</f>
        <v>27627.9</v>
      </c>
      <c r="G526" s="227"/>
      <c r="H526" s="123">
        <f>H527</f>
        <v>27627.700000000004</v>
      </c>
      <c r="I526" s="227"/>
      <c r="J526" s="313">
        <f t="shared" si="137"/>
        <v>26918.1</v>
      </c>
      <c r="K526" s="511">
        <f t="shared" si="135"/>
        <v>0.97431563249926678</v>
      </c>
      <c r="L526" s="227"/>
      <c r="M526" s="511"/>
      <c r="N526" s="116"/>
      <c r="P526" s="116"/>
      <c r="Q526" s="116"/>
    </row>
    <row r="527" spans="1:17" s="106" customFormat="1" x14ac:dyDescent="0.25">
      <c r="A527" s="200" t="s">
        <v>207</v>
      </c>
      <c r="B527" s="148" t="s">
        <v>5</v>
      </c>
      <c r="C527" s="4" t="s">
        <v>5</v>
      </c>
      <c r="D527" s="568" t="s">
        <v>585</v>
      </c>
      <c r="E527" s="220"/>
      <c r="F527" s="123">
        <f>F528+F533+F536</f>
        <v>27627.9</v>
      </c>
      <c r="G527" s="227"/>
      <c r="H527" s="123">
        <f>H528+H533+H536</f>
        <v>27627.700000000004</v>
      </c>
      <c r="I527" s="227"/>
      <c r="J527" s="313">
        <f>J528+J533+J536</f>
        <v>26918.1</v>
      </c>
      <c r="K527" s="511">
        <f t="shared" si="135"/>
        <v>0.97431563249926678</v>
      </c>
      <c r="L527" s="227"/>
      <c r="M527" s="511"/>
      <c r="N527" s="116"/>
      <c r="P527" s="116"/>
      <c r="Q527" s="116"/>
    </row>
    <row r="528" spans="1:17" s="106" customFormat="1" ht="31.5" x14ac:dyDescent="0.25">
      <c r="A528" s="268" t="s">
        <v>208</v>
      </c>
      <c r="B528" s="148" t="s">
        <v>5</v>
      </c>
      <c r="C528" s="4" t="s">
        <v>5</v>
      </c>
      <c r="D528" s="568" t="s">
        <v>586</v>
      </c>
      <c r="E528" s="229"/>
      <c r="F528" s="123">
        <f>F529+F531</f>
        <v>3610.5</v>
      </c>
      <c r="G528" s="123"/>
      <c r="H528" s="123">
        <f>H529+H531</f>
        <v>3610.3</v>
      </c>
      <c r="I528" s="123"/>
      <c r="J528" s="313">
        <f>J529+J531</f>
        <v>3021.9</v>
      </c>
      <c r="K528" s="511">
        <f t="shared" si="135"/>
        <v>0.83702185413954522</v>
      </c>
      <c r="L528" s="227"/>
      <c r="M528" s="511"/>
      <c r="N528" s="116"/>
      <c r="P528" s="116"/>
      <c r="Q528" s="116"/>
    </row>
    <row r="529" spans="1:26" s="106" customFormat="1" x14ac:dyDescent="0.25">
      <c r="A529" s="268" t="s">
        <v>121</v>
      </c>
      <c r="B529" s="148" t="s">
        <v>5</v>
      </c>
      <c r="C529" s="4" t="s">
        <v>5</v>
      </c>
      <c r="D529" s="568" t="s">
        <v>586</v>
      </c>
      <c r="E529" s="220">
        <v>200</v>
      </c>
      <c r="F529" s="123">
        <f>F530</f>
        <v>2011</v>
      </c>
      <c r="G529" s="227"/>
      <c r="H529" s="123">
        <f>H530</f>
        <v>2010.8</v>
      </c>
      <c r="I529" s="227"/>
      <c r="J529" s="313">
        <f>J530</f>
        <v>1422.4</v>
      </c>
      <c r="K529" s="511">
        <f t="shared" si="135"/>
        <v>0.70738014720509257</v>
      </c>
      <c r="L529" s="227"/>
      <c r="M529" s="511"/>
      <c r="N529" s="116"/>
      <c r="P529" s="116"/>
      <c r="Q529" s="116"/>
    </row>
    <row r="530" spans="1:26" s="106" customFormat="1" ht="31.5" x14ac:dyDescent="0.25">
      <c r="A530" s="268" t="s">
        <v>52</v>
      </c>
      <c r="B530" s="148" t="s">
        <v>5</v>
      </c>
      <c r="C530" s="4" t="s">
        <v>5</v>
      </c>
      <c r="D530" s="568" t="s">
        <v>586</v>
      </c>
      <c r="E530" s="220">
        <v>240</v>
      </c>
      <c r="F530" s="123">
        <f>'ведом. 2024-2026'!AD988</f>
        <v>2011</v>
      </c>
      <c r="G530" s="227"/>
      <c r="H530" s="123">
        <f>'ведом. 2024-2026'!AE988</f>
        <v>2010.8</v>
      </c>
      <c r="I530" s="227"/>
      <c r="J530" s="313">
        <f>'ведом. 2024-2026'!AF988</f>
        <v>1422.4</v>
      </c>
      <c r="K530" s="511">
        <f t="shared" si="135"/>
        <v>0.70738014720509257</v>
      </c>
      <c r="L530" s="227"/>
      <c r="M530" s="511"/>
      <c r="N530" s="116"/>
      <c r="P530" s="116"/>
      <c r="Q530" s="116"/>
    </row>
    <row r="531" spans="1:26" s="106" customFormat="1" x14ac:dyDescent="0.25">
      <c r="A531" s="197" t="s">
        <v>42</v>
      </c>
      <c r="B531" s="148" t="s">
        <v>5</v>
      </c>
      <c r="C531" s="4" t="s">
        <v>5</v>
      </c>
      <c r="D531" s="568" t="s">
        <v>586</v>
      </c>
      <c r="E531" s="220">
        <v>800</v>
      </c>
      <c r="F531" s="123">
        <f>F532</f>
        <v>1599.5</v>
      </c>
      <c r="G531" s="123"/>
      <c r="H531" s="123">
        <f>H532</f>
        <v>1599.5</v>
      </c>
      <c r="I531" s="123"/>
      <c r="J531" s="313">
        <f>J532</f>
        <v>1599.5</v>
      </c>
      <c r="K531" s="511">
        <f t="shared" si="135"/>
        <v>1</v>
      </c>
      <c r="L531" s="227"/>
      <c r="M531" s="511"/>
      <c r="N531" s="116"/>
      <c r="P531" s="116"/>
      <c r="Q531" s="116"/>
    </row>
    <row r="532" spans="1:26" s="106" customFormat="1" x14ac:dyDescent="0.25">
      <c r="A532" s="197" t="s">
        <v>58</v>
      </c>
      <c r="B532" s="148" t="s">
        <v>5</v>
      </c>
      <c r="C532" s="4" t="s">
        <v>5</v>
      </c>
      <c r="D532" s="568" t="s">
        <v>586</v>
      </c>
      <c r="E532" s="220">
        <v>850</v>
      </c>
      <c r="F532" s="123">
        <f>'ведом. 2024-2026'!AD990</f>
        <v>1599.5</v>
      </c>
      <c r="G532" s="227"/>
      <c r="H532" s="123">
        <f>'ведом. 2024-2026'!AE990</f>
        <v>1599.5</v>
      </c>
      <c r="I532" s="227"/>
      <c r="J532" s="313">
        <f>'ведом. 2024-2026'!AF990</f>
        <v>1599.5</v>
      </c>
      <c r="K532" s="511">
        <f t="shared" si="135"/>
        <v>1</v>
      </c>
      <c r="L532" s="227"/>
      <c r="M532" s="511"/>
      <c r="N532" s="116"/>
      <c r="P532" s="116"/>
      <c r="Q532" s="116"/>
    </row>
    <row r="533" spans="1:26" s="106" customFormat="1" ht="31.5" x14ac:dyDescent="0.25">
      <c r="A533" s="268" t="s">
        <v>209</v>
      </c>
      <c r="B533" s="148" t="s">
        <v>5</v>
      </c>
      <c r="C533" s="4" t="s">
        <v>5</v>
      </c>
      <c r="D533" s="568" t="s">
        <v>587</v>
      </c>
      <c r="E533" s="229"/>
      <c r="F533" s="123">
        <f>F534</f>
        <v>14789.500000000002</v>
      </c>
      <c r="G533" s="227"/>
      <c r="H533" s="123">
        <f>H534</f>
        <v>14789.500000000002</v>
      </c>
      <c r="I533" s="227"/>
      <c r="J533" s="313">
        <f>J534</f>
        <v>14681.4</v>
      </c>
      <c r="K533" s="511">
        <f t="shared" si="135"/>
        <v>0.99269076033672521</v>
      </c>
      <c r="L533" s="227"/>
      <c r="M533" s="511"/>
      <c r="N533" s="116"/>
      <c r="P533" s="116"/>
      <c r="Q533" s="116"/>
    </row>
    <row r="534" spans="1:26" s="106" customFormat="1" ht="47.25" x14ac:dyDescent="0.25">
      <c r="A534" s="268" t="s">
        <v>41</v>
      </c>
      <c r="B534" s="148" t="s">
        <v>5</v>
      </c>
      <c r="C534" s="4" t="s">
        <v>5</v>
      </c>
      <c r="D534" s="568" t="s">
        <v>587</v>
      </c>
      <c r="E534" s="220">
        <v>100</v>
      </c>
      <c r="F534" s="123">
        <f>F535</f>
        <v>14789.500000000002</v>
      </c>
      <c r="G534" s="227"/>
      <c r="H534" s="123">
        <f>H535</f>
        <v>14789.500000000002</v>
      </c>
      <c r="I534" s="227"/>
      <c r="J534" s="313">
        <f>J535</f>
        <v>14681.4</v>
      </c>
      <c r="K534" s="511">
        <f t="shared" si="135"/>
        <v>0.99269076033672521</v>
      </c>
      <c r="L534" s="227"/>
      <c r="M534" s="511"/>
      <c r="N534" s="116"/>
      <c r="P534" s="116"/>
      <c r="Q534" s="116"/>
    </row>
    <row r="535" spans="1:26" s="106" customFormat="1" x14ac:dyDescent="0.25">
      <c r="A535" s="268" t="s">
        <v>97</v>
      </c>
      <c r="B535" s="148" t="s">
        <v>5</v>
      </c>
      <c r="C535" s="4" t="s">
        <v>5</v>
      </c>
      <c r="D535" s="568" t="s">
        <v>587</v>
      </c>
      <c r="E535" s="220">
        <v>120</v>
      </c>
      <c r="F535" s="123">
        <f>'ведом. 2024-2026'!AD993</f>
        <v>14789.500000000002</v>
      </c>
      <c r="G535" s="227"/>
      <c r="H535" s="123">
        <f>'ведом. 2024-2026'!AE993</f>
        <v>14789.500000000002</v>
      </c>
      <c r="I535" s="227"/>
      <c r="J535" s="313">
        <f>'ведом. 2024-2026'!AF993</f>
        <v>14681.4</v>
      </c>
      <c r="K535" s="511">
        <f t="shared" si="135"/>
        <v>0.99269076033672521</v>
      </c>
      <c r="L535" s="227"/>
      <c r="M535" s="511"/>
      <c r="N535" s="116"/>
      <c r="P535" s="116"/>
      <c r="Q535" s="116"/>
    </row>
    <row r="536" spans="1:26" s="106" customFormat="1" ht="31.5" x14ac:dyDescent="0.25">
      <c r="A536" s="268" t="s">
        <v>210</v>
      </c>
      <c r="B536" s="148" t="s">
        <v>5</v>
      </c>
      <c r="C536" s="4" t="s">
        <v>5</v>
      </c>
      <c r="D536" s="568" t="s">
        <v>588</v>
      </c>
      <c r="E536" s="229"/>
      <c r="F536" s="123">
        <f>F537</f>
        <v>9227.9</v>
      </c>
      <c r="G536" s="227"/>
      <c r="H536" s="123">
        <f>H537</f>
        <v>9227.9</v>
      </c>
      <c r="I536" s="227"/>
      <c r="J536" s="313">
        <f>J537</f>
        <v>9214.7999999999993</v>
      </c>
      <c r="K536" s="511">
        <f t="shared" si="135"/>
        <v>0.99858039207186899</v>
      </c>
      <c r="L536" s="227"/>
      <c r="M536" s="511"/>
      <c r="N536" s="116"/>
      <c r="P536" s="116"/>
      <c r="Q536" s="116"/>
    </row>
    <row r="537" spans="1:26" s="106" customFormat="1" ht="47.25" x14ac:dyDescent="0.25">
      <c r="A537" s="268" t="s">
        <v>41</v>
      </c>
      <c r="B537" s="148" t="s">
        <v>5</v>
      </c>
      <c r="C537" s="4" t="s">
        <v>5</v>
      </c>
      <c r="D537" s="568" t="s">
        <v>588</v>
      </c>
      <c r="E537" s="220">
        <v>100</v>
      </c>
      <c r="F537" s="123">
        <f>F538</f>
        <v>9227.9</v>
      </c>
      <c r="G537" s="227"/>
      <c r="H537" s="123">
        <f>H538</f>
        <v>9227.9</v>
      </c>
      <c r="I537" s="227"/>
      <c r="J537" s="313">
        <f>J538</f>
        <v>9214.7999999999993</v>
      </c>
      <c r="K537" s="511">
        <f t="shared" si="135"/>
        <v>0.99858039207186899</v>
      </c>
      <c r="L537" s="227"/>
      <c r="M537" s="511"/>
      <c r="N537" s="116"/>
      <c r="P537" s="116"/>
      <c r="Q537" s="116"/>
    </row>
    <row r="538" spans="1:26" s="117" customFormat="1" x14ac:dyDescent="0.25">
      <c r="A538" s="268" t="s">
        <v>97</v>
      </c>
      <c r="B538" s="148" t="s">
        <v>5</v>
      </c>
      <c r="C538" s="4" t="s">
        <v>5</v>
      </c>
      <c r="D538" s="568" t="s">
        <v>588</v>
      </c>
      <c r="E538" s="220">
        <v>120</v>
      </c>
      <c r="F538" s="123">
        <f>'ведом. 2024-2026'!AD996</f>
        <v>9227.9</v>
      </c>
      <c r="G538" s="227"/>
      <c r="H538" s="123">
        <f>'ведом. 2024-2026'!AE996</f>
        <v>9227.9</v>
      </c>
      <c r="I538" s="227"/>
      <c r="J538" s="313">
        <f>'ведом. 2024-2026'!AF996</f>
        <v>9214.7999999999993</v>
      </c>
      <c r="K538" s="511">
        <f t="shared" si="135"/>
        <v>0.99858039207186899</v>
      </c>
      <c r="L538" s="227"/>
      <c r="M538" s="511"/>
      <c r="N538" s="116"/>
      <c r="P538" s="116"/>
      <c r="Q538" s="116"/>
      <c r="T538" s="23"/>
      <c r="U538" s="162"/>
      <c r="V538" s="163"/>
      <c r="W538" s="163"/>
      <c r="X538" s="164"/>
      <c r="Y538" s="164"/>
      <c r="Z538" s="165"/>
    </row>
    <row r="539" spans="1:26" s="117" customFormat="1" x14ac:dyDescent="0.25">
      <c r="A539" s="198" t="s">
        <v>39</v>
      </c>
      <c r="B539" s="150" t="s">
        <v>96</v>
      </c>
      <c r="C539" s="4"/>
      <c r="D539" s="458"/>
      <c r="E539" s="220"/>
      <c r="F539" s="125">
        <f>F540</f>
        <v>1356927</v>
      </c>
      <c r="G539" s="125">
        <f t="shared" ref="G539:L539" si="138">G540</f>
        <v>1343458</v>
      </c>
      <c r="H539" s="125">
        <f>H540</f>
        <v>1356927</v>
      </c>
      <c r="I539" s="125">
        <f t="shared" si="138"/>
        <v>1343458</v>
      </c>
      <c r="J539" s="502">
        <f t="shared" si="138"/>
        <v>1356927</v>
      </c>
      <c r="K539" s="512">
        <f t="shared" si="135"/>
        <v>1</v>
      </c>
      <c r="L539" s="242">
        <f t="shared" si="138"/>
        <v>1343458</v>
      </c>
      <c r="M539" s="512">
        <f t="shared" si="136"/>
        <v>1</v>
      </c>
      <c r="N539" s="116"/>
      <c r="P539" s="116"/>
      <c r="Q539" s="116"/>
      <c r="T539" s="23"/>
      <c r="U539" s="162"/>
      <c r="V539" s="163"/>
      <c r="W539" s="163"/>
      <c r="X539" s="164"/>
      <c r="Y539" s="164"/>
      <c r="Z539" s="165"/>
    </row>
    <row r="540" spans="1:26" s="117" customFormat="1" x14ac:dyDescent="0.25">
      <c r="A540" s="197" t="s">
        <v>93</v>
      </c>
      <c r="B540" s="16" t="s">
        <v>96</v>
      </c>
      <c r="C540" s="1" t="s">
        <v>30</v>
      </c>
      <c r="D540" s="458"/>
      <c r="E540" s="220"/>
      <c r="F540" s="123">
        <f t="shared" ref="F540:H546" si="139">F541</f>
        <v>1356927</v>
      </c>
      <c r="G540" s="123">
        <f t="shared" ref="G540:L546" si="140">G541</f>
        <v>1343458</v>
      </c>
      <c r="H540" s="123">
        <f t="shared" si="139"/>
        <v>1356927</v>
      </c>
      <c r="I540" s="123">
        <f t="shared" si="140"/>
        <v>1343458</v>
      </c>
      <c r="J540" s="313">
        <f t="shared" si="140"/>
        <v>1356927</v>
      </c>
      <c r="K540" s="511">
        <f t="shared" si="135"/>
        <v>1</v>
      </c>
      <c r="L540" s="227">
        <f t="shared" si="140"/>
        <v>1343458</v>
      </c>
      <c r="M540" s="511">
        <f t="shared" si="136"/>
        <v>1</v>
      </c>
      <c r="N540" s="116"/>
      <c r="P540" s="116"/>
      <c r="Q540" s="116"/>
      <c r="T540" s="23"/>
      <c r="U540" s="162"/>
      <c r="V540" s="163"/>
      <c r="W540" s="163"/>
      <c r="X540" s="164"/>
      <c r="Y540" s="164"/>
      <c r="Z540" s="165"/>
    </row>
    <row r="541" spans="1:26" s="117" customFormat="1" x14ac:dyDescent="0.25">
      <c r="A541" s="199" t="s">
        <v>631</v>
      </c>
      <c r="B541" s="16" t="s">
        <v>96</v>
      </c>
      <c r="C541" s="1" t="s">
        <v>30</v>
      </c>
      <c r="D541" s="581" t="s">
        <v>112</v>
      </c>
      <c r="E541" s="220"/>
      <c r="F541" s="123">
        <f t="shared" si="139"/>
        <v>1356927</v>
      </c>
      <c r="G541" s="123">
        <f t="shared" si="140"/>
        <v>1343458</v>
      </c>
      <c r="H541" s="123">
        <f t="shared" si="139"/>
        <v>1356927</v>
      </c>
      <c r="I541" s="123">
        <f t="shared" si="140"/>
        <v>1343458</v>
      </c>
      <c r="J541" s="313">
        <f t="shared" si="140"/>
        <v>1356927</v>
      </c>
      <c r="K541" s="511">
        <f t="shared" si="135"/>
        <v>1</v>
      </c>
      <c r="L541" s="227">
        <f t="shared" si="140"/>
        <v>1343458</v>
      </c>
      <c r="M541" s="511">
        <f t="shared" si="136"/>
        <v>1</v>
      </c>
      <c r="N541" s="116"/>
      <c r="P541" s="116"/>
      <c r="Q541" s="116"/>
      <c r="T541" s="23"/>
      <c r="U541" s="162"/>
      <c r="V541" s="163"/>
      <c r="W541" s="163"/>
      <c r="X541" s="164"/>
      <c r="Y541" s="164"/>
      <c r="Z541" s="165"/>
    </row>
    <row r="542" spans="1:26" s="117" customFormat="1" x14ac:dyDescent="0.25">
      <c r="A542" s="199" t="s">
        <v>632</v>
      </c>
      <c r="B542" s="16" t="s">
        <v>96</v>
      </c>
      <c r="C542" s="1" t="s">
        <v>30</v>
      </c>
      <c r="D542" s="581" t="s">
        <v>633</v>
      </c>
      <c r="E542" s="220"/>
      <c r="F542" s="123">
        <f t="shared" si="139"/>
        <v>1356927</v>
      </c>
      <c r="G542" s="123">
        <f t="shared" si="140"/>
        <v>1343458</v>
      </c>
      <c r="H542" s="123">
        <f t="shared" si="139"/>
        <v>1356927</v>
      </c>
      <c r="I542" s="123">
        <f t="shared" si="140"/>
        <v>1343458</v>
      </c>
      <c r="J542" s="313">
        <f t="shared" si="140"/>
        <v>1356927</v>
      </c>
      <c r="K542" s="511">
        <f t="shared" si="135"/>
        <v>1</v>
      </c>
      <c r="L542" s="227">
        <f t="shared" si="140"/>
        <v>1343458</v>
      </c>
      <c r="M542" s="511">
        <f t="shared" si="136"/>
        <v>1</v>
      </c>
      <c r="N542" s="116"/>
      <c r="P542" s="116"/>
      <c r="Q542" s="116"/>
      <c r="T542" s="23"/>
      <c r="U542" s="162"/>
      <c r="V542" s="163"/>
      <c r="W542" s="163"/>
      <c r="X542" s="164"/>
      <c r="Y542" s="164"/>
      <c r="Z542" s="165"/>
    </row>
    <row r="543" spans="1:26" s="117" customFormat="1" x14ac:dyDescent="0.25">
      <c r="A543" s="200" t="s">
        <v>634</v>
      </c>
      <c r="B543" s="16" t="s">
        <v>96</v>
      </c>
      <c r="C543" s="1" t="s">
        <v>30</v>
      </c>
      <c r="D543" s="581" t="s">
        <v>635</v>
      </c>
      <c r="E543" s="223"/>
      <c r="F543" s="123">
        <f t="shared" si="139"/>
        <v>1356927</v>
      </c>
      <c r="G543" s="123">
        <f t="shared" si="140"/>
        <v>1343458</v>
      </c>
      <c r="H543" s="123">
        <f t="shared" si="139"/>
        <v>1356927</v>
      </c>
      <c r="I543" s="123">
        <f t="shared" si="140"/>
        <v>1343458</v>
      </c>
      <c r="J543" s="313">
        <f t="shared" si="140"/>
        <v>1356927</v>
      </c>
      <c r="K543" s="511">
        <f t="shared" si="135"/>
        <v>1</v>
      </c>
      <c r="L543" s="227">
        <f t="shared" si="140"/>
        <v>1343458</v>
      </c>
      <c r="M543" s="511">
        <f t="shared" si="136"/>
        <v>1</v>
      </c>
      <c r="N543" s="116"/>
      <c r="P543" s="116"/>
      <c r="Q543" s="116"/>
      <c r="T543" s="23"/>
      <c r="U543" s="162"/>
      <c r="V543" s="163"/>
      <c r="W543" s="163"/>
      <c r="X543" s="164"/>
      <c r="Y543" s="164"/>
      <c r="Z543" s="165"/>
    </row>
    <row r="544" spans="1:26" s="117" customFormat="1" x14ac:dyDescent="0.25">
      <c r="A544" s="200" t="s">
        <v>636</v>
      </c>
      <c r="B544" s="16" t="s">
        <v>96</v>
      </c>
      <c r="C544" s="1" t="s">
        <v>30</v>
      </c>
      <c r="D544" s="581" t="s">
        <v>637</v>
      </c>
      <c r="E544" s="223"/>
      <c r="F544" s="123">
        <f>F545</f>
        <v>1356927</v>
      </c>
      <c r="G544" s="123">
        <f t="shared" si="140"/>
        <v>1343458</v>
      </c>
      <c r="H544" s="123">
        <f t="shared" si="139"/>
        <v>1356927</v>
      </c>
      <c r="I544" s="123">
        <f t="shared" si="140"/>
        <v>1343458</v>
      </c>
      <c r="J544" s="313">
        <f t="shared" si="140"/>
        <v>1356927</v>
      </c>
      <c r="K544" s="511">
        <f t="shared" si="135"/>
        <v>1</v>
      </c>
      <c r="L544" s="227">
        <f t="shared" si="140"/>
        <v>1343458</v>
      </c>
      <c r="M544" s="511">
        <f t="shared" si="136"/>
        <v>1</v>
      </c>
      <c r="N544" s="116"/>
      <c r="P544" s="116"/>
      <c r="Q544" s="116"/>
      <c r="T544" s="23"/>
      <c r="U544" s="162"/>
      <c r="V544" s="163"/>
      <c r="W544" s="163"/>
      <c r="X544" s="164"/>
      <c r="Y544" s="164"/>
      <c r="Z544" s="165"/>
    </row>
    <row r="545" spans="1:26" s="117" customFormat="1" ht="31.5" x14ac:dyDescent="0.25">
      <c r="A545" s="200" t="s">
        <v>638</v>
      </c>
      <c r="B545" s="16" t="s">
        <v>96</v>
      </c>
      <c r="C545" s="1" t="s">
        <v>30</v>
      </c>
      <c r="D545" s="581" t="s">
        <v>639</v>
      </c>
      <c r="E545" s="223"/>
      <c r="F545" s="123">
        <f t="shared" si="139"/>
        <v>1356927</v>
      </c>
      <c r="G545" s="123">
        <f t="shared" si="140"/>
        <v>1343458</v>
      </c>
      <c r="H545" s="123">
        <f t="shared" si="139"/>
        <v>1356927</v>
      </c>
      <c r="I545" s="123">
        <f t="shared" si="140"/>
        <v>1343458</v>
      </c>
      <c r="J545" s="313">
        <f t="shared" si="140"/>
        <v>1356927</v>
      </c>
      <c r="K545" s="511">
        <f t="shared" si="135"/>
        <v>1</v>
      </c>
      <c r="L545" s="227">
        <f t="shared" si="140"/>
        <v>1343458</v>
      </c>
      <c r="M545" s="511">
        <f t="shared" si="136"/>
        <v>1</v>
      </c>
      <c r="N545" s="116"/>
      <c r="P545" s="116"/>
      <c r="Q545" s="116"/>
      <c r="T545" s="23"/>
      <c r="U545" s="162"/>
      <c r="V545" s="163"/>
      <c r="W545" s="163"/>
      <c r="X545" s="164"/>
      <c r="Y545" s="164"/>
      <c r="Z545" s="165"/>
    </row>
    <row r="546" spans="1:26" s="117" customFormat="1" x14ac:dyDescent="0.25">
      <c r="A546" s="197" t="s">
        <v>154</v>
      </c>
      <c r="B546" s="16" t="s">
        <v>96</v>
      </c>
      <c r="C546" s="1" t="s">
        <v>30</v>
      </c>
      <c r="D546" s="581" t="s">
        <v>639</v>
      </c>
      <c r="E546" s="223" t="s">
        <v>155</v>
      </c>
      <c r="F546" s="123">
        <f t="shared" si="139"/>
        <v>1356927</v>
      </c>
      <c r="G546" s="123">
        <f t="shared" si="140"/>
        <v>1343458</v>
      </c>
      <c r="H546" s="123">
        <f t="shared" si="139"/>
        <v>1356927</v>
      </c>
      <c r="I546" s="123">
        <f t="shared" si="140"/>
        <v>1343458</v>
      </c>
      <c r="J546" s="313">
        <f t="shared" si="140"/>
        <v>1356927</v>
      </c>
      <c r="K546" s="511">
        <f t="shared" si="135"/>
        <v>1</v>
      </c>
      <c r="L546" s="227">
        <f t="shared" si="140"/>
        <v>1343458</v>
      </c>
      <c r="M546" s="511">
        <f t="shared" si="136"/>
        <v>1</v>
      </c>
      <c r="N546" s="116"/>
      <c r="P546" s="116"/>
      <c r="Q546" s="116"/>
      <c r="T546" s="23"/>
      <c r="U546" s="162"/>
      <c r="V546" s="163"/>
      <c r="W546" s="163"/>
      <c r="X546" s="164"/>
      <c r="Y546" s="164"/>
      <c r="Z546" s="165"/>
    </row>
    <row r="547" spans="1:26" s="117" customFormat="1" x14ac:dyDescent="0.25">
      <c r="A547" s="197" t="s">
        <v>9</v>
      </c>
      <c r="B547" s="16" t="s">
        <v>96</v>
      </c>
      <c r="C547" s="1" t="s">
        <v>30</v>
      </c>
      <c r="D547" s="581" t="s">
        <v>639</v>
      </c>
      <c r="E547" s="223" t="s">
        <v>156</v>
      </c>
      <c r="F547" s="123">
        <f>'ведом. 2024-2026'!AD1005</f>
        <v>1356927</v>
      </c>
      <c r="G547" s="227">
        <v>1343458</v>
      </c>
      <c r="H547" s="123">
        <f>'ведом. 2024-2026'!AE1005</f>
        <v>1356927</v>
      </c>
      <c r="I547" s="227">
        <v>1343458</v>
      </c>
      <c r="J547" s="313">
        <f>'ведом. 2024-2026'!AF1005</f>
        <v>1356927</v>
      </c>
      <c r="K547" s="511">
        <f t="shared" si="135"/>
        <v>1</v>
      </c>
      <c r="L547" s="227">
        <v>1343458</v>
      </c>
      <c r="M547" s="511">
        <f t="shared" si="136"/>
        <v>1</v>
      </c>
      <c r="N547" s="116"/>
      <c r="P547" s="116"/>
      <c r="Q547" s="116"/>
      <c r="T547" s="23"/>
      <c r="U547" s="162"/>
      <c r="V547" s="163"/>
      <c r="W547" s="163"/>
      <c r="X547" s="164"/>
      <c r="Y547" s="164"/>
      <c r="Z547" s="165"/>
    </row>
    <row r="548" spans="1:26" s="106" customFormat="1" x14ac:dyDescent="0.25">
      <c r="A548" s="277" t="s">
        <v>4</v>
      </c>
      <c r="B548" s="150" t="s">
        <v>8</v>
      </c>
      <c r="C548" s="140"/>
      <c r="D548" s="534"/>
      <c r="E548" s="592"/>
      <c r="F548" s="125">
        <f t="shared" ref="F548:L548" si="141">F549+F570+F634+F680+F699</f>
        <v>1352195.5999999999</v>
      </c>
      <c r="G548" s="242">
        <f t="shared" si="141"/>
        <v>865656.1</v>
      </c>
      <c r="H548" s="125">
        <f t="shared" si="141"/>
        <v>1352195.5999999999</v>
      </c>
      <c r="I548" s="242">
        <f t="shared" si="141"/>
        <v>865656.1</v>
      </c>
      <c r="J548" s="502">
        <f t="shared" si="141"/>
        <v>1342902.4999999998</v>
      </c>
      <c r="K548" s="512">
        <f t="shared" si="135"/>
        <v>0.99312739961585428</v>
      </c>
      <c r="L548" s="242">
        <f t="shared" si="141"/>
        <v>863276.39999999991</v>
      </c>
      <c r="M548" s="512">
        <f t="shared" si="136"/>
        <v>0.99725098685263114</v>
      </c>
      <c r="N548" s="116"/>
      <c r="P548" s="116"/>
      <c r="Q548" s="116"/>
    </row>
    <row r="549" spans="1:26" s="106" customFormat="1" x14ac:dyDescent="0.25">
      <c r="A549" s="268" t="s">
        <v>19</v>
      </c>
      <c r="B549" s="148" t="s">
        <v>8</v>
      </c>
      <c r="C549" s="4" t="s">
        <v>29</v>
      </c>
      <c r="D549" s="568"/>
      <c r="E549" s="221"/>
      <c r="F549" s="123">
        <f t="shared" ref="F549:L550" si="142">F550</f>
        <v>441202.39999999997</v>
      </c>
      <c r="G549" s="227">
        <f t="shared" si="142"/>
        <v>281597</v>
      </c>
      <c r="H549" s="123">
        <f t="shared" si="142"/>
        <v>441202.39999999997</v>
      </c>
      <c r="I549" s="227">
        <f t="shared" si="142"/>
        <v>281597</v>
      </c>
      <c r="J549" s="313">
        <f t="shared" si="142"/>
        <v>440137</v>
      </c>
      <c r="K549" s="511">
        <f t="shared" si="135"/>
        <v>0.99758523525710652</v>
      </c>
      <c r="L549" s="227">
        <f t="shared" si="142"/>
        <v>280653</v>
      </c>
      <c r="M549" s="511">
        <f t="shared" si="136"/>
        <v>0.99664769155921407</v>
      </c>
      <c r="N549" s="116"/>
      <c r="P549" s="116"/>
      <c r="Q549" s="116"/>
    </row>
    <row r="550" spans="1:26" s="106" customFormat="1" x14ac:dyDescent="0.25">
      <c r="A550" s="278" t="s">
        <v>270</v>
      </c>
      <c r="B550" s="153" t="s">
        <v>8</v>
      </c>
      <c r="C550" s="4" t="s">
        <v>29</v>
      </c>
      <c r="D550" s="568" t="s">
        <v>101</v>
      </c>
      <c r="E550" s="221"/>
      <c r="F550" s="123">
        <f t="shared" si="142"/>
        <v>441202.39999999997</v>
      </c>
      <c r="G550" s="227">
        <f t="shared" si="142"/>
        <v>281597</v>
      </c>
      <c r="H550" s="123">
        <f t="shared" si="142"/>
        <v>441202.39999999997</v>
      </c>
      <c r="I550" s="227">
        <f t="shared" si="142"/>
        <v>281597</v>
      </c>
      <c r="J550" s="313">
        <f t="shared" si="142"/>
        <v>440137</v>
      </c>
      <c r="K550" s="511">
        <f t="shared" si="135"/>
        <v>0.99758523525710652</v>
      </c>
      <c r="L550" s="227">
        <f t="shared" si="142"/>
        <v>280653</v>
      </c>
      <c r="M550" s="511">
        <f t="shared" si="136"/>
        <v>0.99664769155921407</v>
      </c>
      <c r="N550" s="116"/>
      <c r="P550" s="116"/>
      <c r="Q550" s="116"/>
    </row>
    <row r="551" spans="1:26" s="106" customFormat="1" x14ac:dyDescent="0.25">
      <c r="A551" s="199" t="s">
        <v>273</v>
      </c>
      <c r="B551" s="153" t="s">
        <v>8</v>
      </c>
      <c r="C551" s="4" t="s">
        <v>29</v>
      </c>
      <c r="D551" s="568" t="s">
        <v>118</v>
      </c>
      <c r="E551" s="220"/>
      <c r="F551" s="123">
        <f t="shared" ref="F551:L551" si="143">F552+F566</f>
        <v>441202.39999999997</v>
      </c>
      <c r="G551" s="123">
        <f t="shared" si="143"/>
        <v>281597</v>
      </c>
      <c r="H551" s="123">
        <f t="shared" ref="H551:I551" si="144">H552+H566</f>
        <v>441202.39999999997</v>
      </c>
      <c r="I551" s="123">
        <f t="shared" si="144"/>
        <v>281597</v>
      </c>
      <c r="J551" s="313">
        <f t="shared" si="143"/>
        <v>440137</v>
      </c>
      <c r="K551" s="511">
        <f t="shared" si="135"/>
        <v>0.99758523525710652</v>
      </c>
      <c r="L551" s="227">
        <f t="shared" si="143"/>
        <v>280653</v>
      </c>
      <c r="M551" s="511">
        <f t="shared" si="136"/>
        <v>0.99664769155921407</v>
      </c>
      <c r="N551" s="116"/>
      <c r="P551" s="116"/>
      <c r="Q551" s="116"/>
    </row>
    <row r="552" spans="1:26" s="106" customFormat="1" ht="31.5" x14ac:dyDescent="0.25">
      <c r="A552" s="199" t="s">
        <v>479</v>
      </c>
      <c r="B552" s="153" t="s">
        <v>8</v>
      </c>
      <c r="C552" s="4" t="s">
        <v>29</v>
      </c>
      <c r="D552" s="568" t="s">
        <v>478</v>
      </c>
      <c r="E552" s="220"/>
      <c r="F552" s="123">
        <f>F556+F560+F563+F553</f>
        <v>439742.39999999997</v>
      </c>
      <c r="G552" s="123">
        <f t="shared" ref="G552:L552" si="145">G556+G560+G563+G553</f>
        <v>280137</v>
      </c>
      <c r="H552" s="123">
        <f>H556+H560+H563+H553</f>
        <v>439742.39999999997</v>
      </c>
      <c r="I552" s="123">
        <f t="shared" ref="I552" si="146">I556+I560+I563+I553</f>
        <v>280137</v>
      </c>
      <c r="J552" s="313">
        <f t="shared" si="145"/>
        <v>439299.4</v>
      </c>
      <c r="K552" s="511">
        <f t="shared" si="135"/>
        <v>0.99899259202660484</v>
      </c>
      <c r="L552" s="227">
        <f t="shared" si="145"/>
        <v>279815.40000000002</v>
      </c>
      <c r="M552" s="511">
        <f t="shared" si="136"/>
        <v>0.99885199027618643</v>
      </c>
      <c r="N552" s="116"/>
      <c r="P552" s="116"/>
      <c r="Q552" s="116"/>
    </row>
    <row r="553" spans="1:26" s="106" customFormat="1" ht="31.5" x14ac:dyDescent="0.25">
      <c r="A553" s="356" t="s">
        <v>722</v>
      </c>
      <c r="B553" s="153" t="s">
        <v>8</v>
      </c>
      <c r="C553" s="4" t="s">
        <v>29</v>
      </c>
      <c r="D553" s="570" t="s">
        <v>724</v>
      </c>
      <c r="E553" s="601"/>
      <c r="F553" s="123">
        <f>F554</f>
        <v>1707.8</v>
      </c>
      <c r="G553" s="123"/>
      <c r="H553" s="123">
        <f>H554</f>
        <v>1707.8</v>
      </c>
      <c r="I553" s="123"/>
      <c r="J553" s="313">
        <f t="shared" ref="J553:J554" si="147">J554</f>
        <v>1586.4</v>
      </c>
      <c r="K553" s="511">
        <f t="shared" si="135"/>
        <v>0.9289143927860406</v>
      </c>
      <c r="L553" s="227"/>
      <c r="M553" s="511"/>
      <c r="N553" s="116"/>
      <c r="P553" s="116"/>
      <c r="Q553" s="116"/>
    </row>
    <row r="554" spans="1:26" s="106" customFormat="1" ht="31.5" x14ac:dyDescent="0.25">
      <c r="A554" s="347" t="s">
        <v>61</v>
      </c>
      <c r="B554" s="153" t="s">
        <v>8</v>
      </c>
      <c r="C554" s="4" t="s">
        <v>29</v>
      </c>
      <c r="D554" s="570" t="s">
        <v>724</v>
      </c>
      <c r="E554" s="427">
        <v>600</v>
      </c>
      <c r="F554" s="123">
        <f>F555</f>
        <v>1707.8</v>
      </c>
      <c r="G554" s="123"/>
      <c r="H554" s="123">
        <f>H555</f>
        <v>1707.8</v>
      </c>
      <c r="I554" s="123"/>
      <c r="J554" s="313">
        <f t="shared" si="147"/>
        <v>1586.4</v>
      </c>
      <c r="K554" s="511">
        <f t="shared" si="135"/>
        <v>0.9289143927860406</v>
      </c>
      <c r="L554" s="227"/>
      <c r="M554" s="511"/>
      <c r="N554" s="116"/>
      <c r="P554" s="116"/>
      <c r="Q554" s="116"/>
    </row>
    <row r="555" spans="1:26" s="106" customFormat="1" x14ac:dyDescent="0.25">
      <c r="A555" s="347" t="s">
        <v>62</v>
      </c>
      <c r="B555" s="153" t="s">
        <v>8</v>
      </c>
      <c r="C555" s="4" t="s">
        <v>29</v>
      </c>
      <c r="D555" s="570" t="s">
        <v>724</v>
      </c>
      <c r="E555" s="427">
        <v>610</v>
      </c>
      <c r="F555" s="123">
        <f>'ведом. 2024-2026'!AD639</f>
        <v>1707.8</v>
      </c>
      <c r="G555" s="123"/>
      <c r="H555" s="123">
        <f>'ведом. 2024-2026'!AE639</f>
        <v>1707.8</v>
      </c>
      <c r="I555" s="123"/>
      <c r="J555" s="313">
        <f>'ведом. 2024-2026'!AF639</f>
        <v>1586.4</v>
      </c>
      <c r="K555" s="511">
        <f t="shared" si="135"/>
        <v>0.9289143927860406</v>
      </c>
      <c r="L555" s="227"/>
      <c r="M555" s="511"/>
      <c r="N555" s="116"/>
      <c r="P555" s="116"/>
      <c r="Q555" s="116"/>
    </row>
    <row r="556" spans="1:26" s="106" customFormat="1" ht="31.5" x14ac:dyDescent="0.25">
      <c r="A556" s="268" t="s">
        <v>272</v>
      </c>
      <c r="B556" s="153" t="s">
        <v>8</v>
      </c>
      <c r="C556" s="4" t="s">
        <v>29</v>
      </c>
      <c r="D556" s="568" t="s">
        <v>481</v>
      </c>
      <c r="E556" s="602"/>
      <c r="F556" s="123">
        <f>F557</f>
        <v>157897.60000000001</v>
      </c>
      <c r="G556" s="123"/>
      <c r="H556" s="123">
        <f>H557</f>
        <v>157897.60000000001</v>
      </c>
      <c r="I556" s="123"/>
      <c r="J556" s="313">
        <f>J557</f>
        <v>157897.60000000001</v>
      </c>
      <c r="K556" s="511">
        <f t="shared" si="135"/>
        <v>1</v>
      </c>
      <c r="L556" s="227"/>
      <c r="M556" s="511"/>
      <c r="N556" s="116"/>
      <c r="P556" s="116"/>
      <c r="Q556" s="116"/>
    </row>
    <row r="557" spans="1:26" s="106" customFormat="1" ht="31.5" x14ac:dyDescent="0.25">
      <c r="A557" s="268" t="s">
        <v>346</v>
      </c>
      <c r="B557" s="153" t="s">
        <v>8</v>
      </c>
      <c r="C557" s="4" t="s">
        <v>29</v>
      </c>
      <c r="D557" s="568" t="s">
        <v>482</v>
      </c>
      <c r="E557" s="220"/>
      <c r="F557" s="123">
        <f>F558</f>
        <v>157897.60000000001</v>
      </c>
      <c r="G557" s="227"/>
      <c r="H557" s="123">
        <f>H558</f>
        <v>157897.60000000001</v>
      </c>
      <c r="I557" s="227"/>
      <c r="J557" s="313">
        <f>J558</f>
        <v>157897.60000000001</v>
      </c>
      <c r="K557" s="511">
        <f t="shared" si="135"/>
        <v>1</v>
      </c>
      <c r="L557" s="227"/>
      <c r="M557" s="511"/>
      <c r="N557" s="116"/>
      <c r="P557" s="116"/>
      <c r="Q557" s="116"/>
    </row>
    <row r="558" spans="1:26" s="106" customFormat="1" ht="31.5" x14ac:dyDescent="0.25">
      <c r="A558" s="268" t="s">
        <v>61</v>
      </c>
      <c r="B558" s="153" t="s">
        <v>8</v>
      </c>
      <c r="C558" s="4" t="s">
        <v>29</v>
      </c>
      <c r="D558" s="568" t="s">
        <v>482</v>
      </c>
      <c r="E558" s="220">
        <v>600</v>
      </c>
      <c r="F558" s="123">
        <f>F559</f>
        <v>157897.60000000001</v>
      </c>
      <c r="G558" s="227"/>
      <c r="H558" s="123">
        <f>H559</f>
        <v>157897.60000000001</v>
      </c>
      <c r="I558" s="227"/>
      <c r="J558" s="313">
        <f>J559</f>
        <v>157897.60000000001</v>
      </c>
      <c r="K558" s="511">
        <f t="shared" si="135"/>
        <v>1</v>
      </c>
      <c r="L558" s="227"/>
      <c r="M558" s="511"/>
      <c r="N558" s="116"/>
      <c r="P558" s="116"/>
      <c r="Q558" s="116"/>
    </row>
    <row r="559" spans="1:26" s="106" customFormat="1" x14ac:dyDescent="0.25">
      <c r="A559" s="268" t="s">
        <v>62</v>
      </c>
      <c r="B559" s="148" t="s">
        <v>8</v>
      </c>
      <c r="C559" s="4" t="s">
        <v>29</v>
      </c>
      <c r="D559" s="568" t="s">
        <v>482</v>
      </c>
      <c r="E559" s="220">
        <v>610</v>
      </c>
      <c r="F559" s="123">
        <f>'ведом. 2024-2026'!AD643</f>
        <v>157897.60000000001</v>
      </c>
      <c r="G559" s="227"/>
      <c r="H559" s="123">
        <f>'ведом. 2024-2026'!AE643</f>
        <v>157897.60000000001</v>
      </c>
      <c r="I559" s="227"/>
      <c r="J559" s="313">
        <f>'ведом. 2024-2026'!AF643</f>
        <v>157897.60000000001</v>
      </c>
      <c r="K559" s="511">
        <f t="shared" si="135"/>
        <v>1</v>
      </c>
      <c r="L559" s="227"/>
      <c r="M559" s="511"/>
      <c r="N559" s="116"/>
      <c r="P559" s="116"/>
      <c r="Q559" s="116"/>
    </row>
    <row r="560" spans="1:26" s="106" customFormat="1" ht="141.75" x14ac:dyDescent="0.25">
      <c r="A560" s="200" t="s">
        <v>426</v>
      </c>
      <c r="B560" s="149" t="s">
        <v>8</v>
      </c>
      <c r="C560" s="143" t="s">
        <v>29</v>
      </c>
      <c r="D560" s="568" t="s">
        <v>503</v>
      </c>
      <c r="E560" s="602"/>
      <c r="F560" s="123">
        <f t="shared" ref="F560:L561" si="148">F561</f>
        <v>279737</v>
      </c>
      <c r="G560" s="227">
        <f t="shared" si="148"/>
        <v>279737</v>
      </c>
      <c r="H560" s="123">
        <f t="shared" si="148"/>
        <v>279737</v>
      </c>
      <c r="I560" s="227">
        <f t="shared" si="148"/>
        <v>279737</v>
      </c>
      <c r="J560" s="313">
        <f t="shared" si="148"/>
        <v>279715.40000000002</v>
      </c>
      <c r="K560" s="511">
        <f t="shared" si="135"/>
        <v>0.99992278461554973</v>
      </c>
      <c r="L560" s="227">
        <f t="shared" si="148"/>
        <v>279715.40000000002</v>
      </c>
      <c r="M560" s="511">
        <f t="shared" si="136"/>
        <v>0.99992278461554973</v>
      </c>
      <c r="N560" s="116"/>
      <c r="P560" s="116"/>
      <c r="Q560" s="116"/>
    </row>
    <row r="561" spans="1:17" s="106" customFormat="1" ht="31.5" x14ac:dyDescent="0.25">
      <c r="A561" s="268" t="s">
        <v>61</v>
      </c>
      <c r="B561" s="149" t="s">
        <v>8</v>
      </c>
      <c r="C561" s="143" t="s">
        <v>29</v>
      </c>
      <c r="D561" s="568" t="s">
        <v>503</v>
      </c>
      <c r="E561" s="221">
        <v>600</v>
      </c>
      <c r="F561" s="123">
        <f t="shared" si="148"/>
        <v>279737</v>
      </c>
      <c r="G561" s="227">
        <f t="shared" si="148"/>
        <v>279737</v>
      </c>
      <c r="H561" s="123">
        <f t="shared" si="148"/>
        <v>279737</v>
      </c>
      <c r="I561" s="227">
        <f t="shared" si="148"/>
        <v>279737</v>
      </c>
      <c r="J561" s="313">
        <f t="shared" si="148"/>
        <v>279715.40000000002</v>
      </c>
      <c r="K561" s="511">
        <f t="shared" si="135"/>
        <v>0.99992278461554973</v>
      </c>
      <c r="L561" s="227">
        <f t="shared" si="148"/>
        <v>279715.40000000002</v>
      </c>
      <c r="M561" s="511">
        <f t="shared" si="136"/>
        <v>0.99992278461554973</v>
      </c>
      <c r="N561" s="116"/>
      <c r="P561" s="116"/>
      <c r="Q561" s="116"/>
    </row>
    <row r="562" spans="1:17" s="106" customFormat="1" x14ac:dyDescent="0.25">
      <c r="A562" s="268" t="s">
        <v>62</v>
      </c>
      <c r="B562" s="153" t="s">
        <v>8</v>
      </c>
      <c r="C562" s="4" t="s">
        <v>29</v>
      </c>
      <c r="D562" s="568" t="s">
        <v>503</v>
      </c>
      <c r="E562" s="221">
        <v>610</v>
      </c>
      <c r="F562" s="123">
        <f>'ведом. 2024-2026'!AD646</f>
        <v>279737</v>
      </c>
      <c r="G562" s="227">
        <f>F562</f>
        <v>279737</v>
      </c>
      <c r="H562" s="123">
        <f>'ведом. 2024-2026'!AE646</f>
        <v>279737</v>
      </c>
      <c r="I562" s="227">
        <f>H562</f>
        <v>279737</v>
      </c>
      <c r="J562" s="313">
        <f>'ведом. 2024-2026'!AF646</f>
        <v>279715.40000000002</v>
      </c>
      <c r="K562" s="511">
        <f t="shared" si="135"/>
        <v>0.99992278461554973</v>
      </c>
      <c r="L562" s="227">
        <f>J562</f>
        <v>279715.40000000002</v>
      </c>
      <c r="M562" s="511">
        <f t="shared" si="136"/>
        <v>0.99992278461554973</v>
      </c>
      <c r="N562" s="116"/>
      <c r="P562" s="116"/>
      <c r="Q562" s="116"/>
    </row>
    <row r="563" spans="1:17" s="106" customFormat="1" ht="31.5" x14ac:dyDescent="0.25">
      <c r="A563" s="197" t="s">
        <v>687</v>
      </c>
      <c r="B563" s="8" t="s">
        <v>8</v>
      </c>
      <c r="C563" s="143" t="s">
        <v>29</v>
      </c>
      <c r="D563" s="211" t="s">
        <v>686</v>
      </c>
      <c r="E563" s="602"/>
      <c r="F563" s="123">
        <f t="shared" ref="F563:L564" si="149">F564</f>
        <v>400</v>
      </c>
      <c r="G563" s="123">
        <f t="shared" si="149"/>
        <v>400</v>
      </c>
      <c r="H563" s="123">
        <f t="shared" si="149"/>
        <v>400</v>
      </c>
      <c r="I563" s="123">
        <f t="shared" si="149"/>
        <v>400</v>
      </c>
      <c r="J563" s="313">
        <f t="shared" si="149"/>
        <v>100</v>
      </c>
      <c r="K563" s="511">
        <f t="shared" si="135"/>
        <v>0.25</v>
      </c>
      <c r="L563" s="227">
        <f t="shared" si="149"/>
        <v>100</v>
      </c>
      <c r="M563" s="511">
        <f t="shared" si="136"/>
        <v>0.25</v>
      </c>
      <c r="N563" s="116"/>
      <c r="P563" s="116"/>
      <c r="Q563" s="116"/>
    </row>
    <row r="564" spans="1:17" s="106" customFormat="1" ht="31.5" x14ac:dyDescent="0.25">
      <c r="A564" s="197" t="s">
        <v>61</v>
      </c>
      <c r="B564" s="8" t="s">
        <v>8</v>
      </c>
      <c r="C564" s="143" t="s">
        <v>29</v>
      </c>
      <c r="D564" s="211" t="s">
        <v>686</v>
      </c>
      <c r="E564" s="221">
        <v>600</v>
      </c>
      <c r="F564" s="123">
        <f t="shared" si="149"/>
        <v>400</v>
      </c>
      <c r="G564" s="123">
        <f t="shared" si="149"/>
        <v>400</v>
      </c>
      <c r="H564" s="123">
        <f t="shared" si="149"/>
        <v>400</v>
      </c>
      <c r="I564" s="123">
        <f t="shared" si="149"/>
        <v>400</v>
      </c>
      <c r="J564" s="313">
        <f t="shared" si="149"/>
        <v>100</v>
      </c>
      <c r="K564" s="511">
        <f t="shared" si="135"/>
        <v>0.25</v>
      </c>
      <c r="L564" s="227">
        <f t="shared" si="149"/>
        <v>100</v>
      </c>
      <c r="M564" s="511">
        <f t="shared" si="136"/>
        <v>0.25</v>
      </c>
      <c r="N564" s="116"/>
      <c r="P564" s="116"/>
      <c r="Q564" s="116"/>
    </row>
    <row r="565" spans="1:17" s="106" customFormat="1" x14ac:dyDescent="0.25">
      <c r="A565" s="197" t="s">
        <v>62</v>
      </c>
      <c r="B565" s="2" t="s">
        <v>8</v>
      </c>
      <c r="C565" s="4" t="s">
        <v>29</v>
      </c>
      <c r="D565" s="211" t="s">
        <v>686</v>
      </c>
      <c r="E565" s="221">
        <v>610</v>
      </c>
      <c r="F565" s="123">
        <f>'ведом. 2024-2026'!AD654</f>
        <v>400</v>
      </c>
      <c r="G565" s="227">
        <f>F565</f>
        <v>400</v>
      </c>
      <c r="H565" s="123">
        <f>'ведом. 2024-2026'!AE654</f>
        <v>400</v>
      </c>
      <c r="I565" s="227">
        <f>H565</f>
        <v>400</v>
      </c>
      <c r="J565" s="313">
        <f>'ведом. 2024-2026'!AF654</f>
        <v>100</v>
      </c>
      <c r="K565" s="511">
        <f t="shared" si="135"/>
        <v>0.25</v>
      </c>
      <c r="L565" s="227">
        <f>J565</f>
        <v>100</v>
      </c>
      <c r="M565" s="511">
        <f t="shared" si="136"/>
        <v>0.25</v>
      </c>
      <c r="N565" s="116"/>
      <c r="P565" s="116"/>
      <c r="Q565" s="116"/>
    </row>
    <row r="566" spans="1:17" s="106" customFormat="1" ht="47.25" x14ac:dyDescent="0.25">
      <c r="A566" s="199" t="s">
        <v>276</v>
      </c>
      <c r="B566" s="2" t="s">
        <v>8</v>
      </c>
      <c r="C566" s="4" t="s">
        <v>29</v>
      </c>
      <c r="D566" s="211" t="s">
        <v>126</v>
      </c>
      <c r="E566" s="221"/>
      <c r="F566" s="123">
        <f>F567</f>
        <v>1460</v>
      </c>
      <c r="G566" s="123">
        <f t="shared" ref="G566:J568" si="150">G567</f>
        <v>1460</v>
      </c>
      <c r="H566" s="123">
        <f>H567</f>
        <v>1460</v>
      </c>
      <c r="I566" s="123">
        <f t="shared" si="150"/>
        <v>1460</v>
      </c>
      <c r="J566" s="313">
        <f t="shared" si="150"/>
        <v>837.6</v>
      </c>
      <c r="K566" s="511">
        <f t="shared" si="135"/>
        <v>0.5736986301369863</v>
      </c>
      <c r="L566" s="227">
        <f>L567</f>
        <v>837.6</v>
      </c>
      <c r="M566" s="511">
        <f t="shared" si="136"/>
        <v>0.5736986301369863</v>
      </c>
      <c r="N566" s="116"/>
      <c r="P566" s="116"/>
      <c r="Q566" s="116"/>
    </row>
    <row r="567" spans="1:17" s="106" customFormat="1" ht="63" x14ac:dyDescent="0.25">
      <c r="A567" s="197" t="s">
        <v>730</v>
      </c>
      <c r="B567" s="2" t="s">
        <v>8</v>
      </c>
      <c r="C567" s="4" t="s">
        <v>29</v>
      </c>
      <c r="D567" s="211" t="s">
        <v>731</v>
      </c>
      <c r="E567" s="221"/>
      <c r="F567" s="123">
        <f>F568</f>
        <v>1460</v>
      </c>
      <c r="G567" s="123">
        <f t="shared" si="150"/>
        <v>1460</v>
      </c>
      <c r="H567" s="123">
        <f>H568</f>
        <v>1460</v>
      </c>
      <c r="I567" s="123">
        <f t="shared" si="150"/>
        <v>1460</v>
      </c>
      <c r="J567" s="313">
        <f t="shared" si="150"/>
        <v>837.6</v>
      </c>
      <c r="K567" s="511">
        <f t="shared" si="135"/>
        <v>0.5736986301369863</v>
      </c>
      <c r="L567" s="227">
        <f>L568</f>
        <v>837.6</v>
      </c>
      <c r="M567" s="511">
        <f t="shared" si="136"/>
        <v>0.5736986301369863</v>
      </c>
      <c r="N567" s="116"/>
      <c r="P567" s="116"/>
      <c r="Q567" s="116"/>
    </row>
    <row r="568" spans="1:17" s="106" customFormat="1" ht="31.5" x14ac:dyDescent="0.25">
      <c r="A568" s="197" t="s">
        <v>61</v>
      </c>
      <c r="B568" s="2" t="s">
        <v>8</v>
      </c>
      <c r="C568" s="4" t="s">
        <v>29</v>
      </c>
      <c r="D568" s="211" t="s">
        <v>731</v>
      </c>
      <c r="E568" s="221">
        <v>600</v>
      </c>
      <c r="F568" s="123">
        <f>F569</f>
        <v>1460</v>
      </c>
      <c r="G568" s="123">
        <f t="shared" si="150"/>
        <v>1460</v>
      </c>
      <c r="H568" s="123">
        <f>H569</f>
        <v>1460</v>
      </c>
      <c r="I568" s="123">
        <f t="shared" si="150"/>
        <v>1460</v>
      </c>
      <c r="J568" s="313">
        <f t="shared" si="150"/>
        <v>837.6</v>
      </c>
      <c r="K568" s="511">
        <f t="shared" si="135"/>
        <v>0.5736986301369863</v>
      </c>
      <c r="L568" s="227">
        <f>L569</f>
        <v>837.6</v>
      </c>
      <c r="M568" s="511">
        <f t="shared" si="136"/>
        <v>0.5736986301369863</v>
      </c>
      <c r="N568" s="116"/>
      <c r="P568" s="116"/>
      <c r="Q568" s="116"/>
    </row>
    <row r="569" spans="1:17" s="106" customFormat="1" x14ac:dyDescent="0.25">
      <c r="A569" s="197" t="s">
        <v>62</v>
      </c>
      <c r="B569" s="2" t="s">
        <v>8</v>
      </c>
      <c r="C569" s="4" t="s">
        <v>29</v>
      </c>
      <c r="D569" s="211" t="s">
        <v>731</v>
      </c>
      <c r="E569" s="221">
        <v>610</v>
      </c>
      <c r="F569" s="123">
        <f>'ведом. 2024-2026'!AD658</f>
        <v>1460</v>
      </c>
      <c r="G569" s="227">
        <f>F569</f>
        <v>1460</v>
      </c>
      <c r="H569" s="123">
        <f>'ведом. 2024-2026'!AE658</f>
        <v>1460</v>
      </c>
      <c r="I569" s="227">
        <f>H569</f>
        <v>1460</v>
      </c>
      <c r="J569" s="313">
        <f>'ведом. 2024-2026'!AF658</f>
        <v>837.6</v>
      </c>
      <c r="K569" s="511">
        <f t="shared" si="135"/>
        <v>0.5736986301369863</v>
      </c>
      <c r="L569" s="227">
        <v>837.6</v>
      </c>
      <c r="M569" s="511">
        <f t="shared" si="136"/>
        <v>0.5736986301369863</v>
      </c>
      <c r="N569" s="116"/>
      <c r="P569" s="116"/>
      <c r="Q569" s="116"/>
    </row>
    <row r="570" spans="1:17" s="106" customFormat="1" x14ac:dyDescent="0.25">
      <c r="A570" s="197" t="s">
        <v>34</v>
      </c>
      <c r="B570" s="153" t="s">
        <v>8</v>
      </c>
      <c r="C570" s="4" t="s">
        <v>30</v>
      </c>
      <c r="D570" s="458"/>
      <c r="E570" s="221"/>
      <c r="F570" s="123">
        <f t="shared" ref="F570:L570" si="151">F571+F621+F627</f>
        <v>717397.6</v>
      </c>
      <c r="G570" s="123">
        <f t="shared" si="151"/>
        <v>571654.1</v>
      </c>
      <c r="H570" s="123">
        <f t="shared" si="151"/>
        <v>717397.6</v>
      </c>
      <c r="I570" s="123">
        <f t="shared" si="151"/>
        <v>571654.1</v>
      </c>
      <c r="J570" s="313">
        <f t="shared" si="151"/>
        <v>710118.79999999993</v>
      </c>
      <c r="K570" s="511">
        <f t="shared" si="135"/>
        <v>0.98985388297925714</v>
      </c>
      <c r="L570" s="227">
        <f t="shared" si="151"/>
        <v>570468.39999999991</v>
      </c>
      <c r="M570" s="511">
        <f t="shared" si="136"/>
        <v>0.99792584361767012</v>
      </c>
      <c r="N570" s="116"/>
      <c r="P570" s="116"/>
      <c r="Q570" s="116"/>
    </row>
    <row r="571" spans="1:17" s="106" customFormat="1" x14ac:dyDescent="0.25">
      <c r="A571" s="278" t="s">
        <v>270</v>
      </c>
      <c r="B571" s="153" t="s">
        <v>8</v>
      </c>
      <c r="C571" s="4" t="s">
        <v>30</v>
      </c>
      <c r="D571" s="568" t="s">
        <v>101</v>
      </c>
      <c r="E571" s="220"/>
      <c r="F571" s="124">
        <f>F572</f>
        <v>703483.6</v>
      </c>
      <c r="G571" s="124">
        <f t="shared" ref="G571:L571" si="152">G572</f>
        <v>569654.1</v>
      </c>
      <c r="H571" s="124">
        <f>H572</f>
        <v>703483.6</v>
      </c>
      <c r="I571" s="124">
        <f t="shared" si="152"/>
        <v>569654.1</v>
      </c>
      <c r="J571" s="503">
        <f t="shared" si="152"/>
        <v>696209.29999999993</v>
      </c>
      <c r="K571" s="511">
        <f t="shared" si="135"/>
        <v>0.98965960258348584</v>
      </c>
      <c r="L571" s="243">
        <f t="shared" si="152"/>
        <v>568470.79999999993</v>
      </c>
      <c r="M571" s="511">
        <f t="shared" si="136"/>
        <v>0.9979227745398479</v>
      </c>
      <c r="N571" s="116"/>
      <c r="P571" s="116"/>
      <c r="Q571" s="116"/>
    </row>
    <row r="572" spans="1:17" s="106" customFormat="1" x14ac:dyDescent="0.25">
      <c r="A572" s="199" t="s">
        <v>273</v>
      </c>
      <c r="B572" s="148" t="s">
        <v>8</v>
      </c>
      <c r="C572" s="4" t="s">
        <v>30</v>
      </c>
      <c r="D572" s="568" t="s">
        <v>118</v>
      </c>
      <c r="E572" s="220"/>
      <c r="F572" s="124">
        <f t="shared" ref="F572:L572" si="153">F573+F596+F606+F618+F613</f>
        <v>703483.6</v>
      </c>
      <c r="G572" s="124">
        <f t="shared" si="153"/>
        <v>569654.1</v>
      </c>
      <c r="H572" s="124">
        <f t="shared" si="153"/>
        <v>703483.6</v>
      </c>
      <c r="I572" s="124">
        <f t="shared" si="153"/>
        <v>569654.1</v>
      </c>
      <c r="J572" s="503">
        <f t="shared" si="153"/>
        <v>696209.29999999993</v>
      </c>
      <c r="K572" s="511">
        <f t="shared" si="135"/>
        <v>0.98965960258348584</v>
      </c>
      <c r="L572" s="243">
        <f t="shared" si="153"/>
        <v>568470.79999999993</v>
      </c>
      <c r="M572" s="511">
        <f t="shared" si="136"/>
        <v>0.9979227745398479</v>
      </c>
      <c r="N572" s="116"/>
      <c r="P572" s="116"/>
      <c r="Q572" s="116"/>
    </row>
    <row r="573" spans="1:17" s="106" customFormat="1" ht="31.5" x14ac:dyDescent="0.25">
      <c r="A573" s="214" t="s">
        <v>274</v>
      </c>
      <c r="B573" s="148" t="s">
        <v>8</v>
      </c>
      <c r="C573" s="4" t="s">
        <v>30</v>
      </c>
      <c r="D573" s="568" t="s">
        <v>478</v>
      </c>
      <c r="E573" s="220"/>
      <c r="F573" s="124">
        <f t="shared" ref="F573:L573" si="154">F577+F584+F587+F593+F574+F590</f>
        <v>632363.9</v>
      </c>
      <c r="G573" s="124">
        <f t="shared" si="154"/>
        <v>516865.2</v>
      </c>
      <c r="H573" s="124">
        <f t="shared" ref="H573:I573" si="155">H577+H584+H587+H593+H574+H590</f>
        <v>632363.9</v>
      </c>
      <c r="I573" s="124">
        <f t="shared" si="155"/>
        <v>516865.2</v>
      </c>
      <c r="J573" s="503">
        <f t="shared" si="154"/>
        <v>630800.19999999995</v>
      </c>
      <c r="K573" s="511">
        <f t="shared" si="135"/>
        <v>0.99752721494696317</v>
      </c>
      <c r="L573" s="243">
        <f t="shared" si="154"/>
        <v>516573.2</v>
      </c>
      <c r="M573" s="511">
        <f t="shared" si="136"/>
        <v>0.99943505579404457</v>
      </c>
      <c r="N573" s="116"/>
      <c r="P573" s="116"/>
      <c r="Q573" s="116"/>
    </row>
    <row r="574" spans="1:17" s="106" customFormat="1" ht="31.5" x14ac:dyDescent="0.25">
      <c r="A574" s="199" t="s">
        <v>722</v>
      </c>
      <c r="B574" s="2" t="s">
        <v>8</v>
      </c>
      <c r="C574" s="4" t="s">
        <v>30</v>
      </c>
      <c r="D574" s="211" t="s">
        <v>724</v>
      </c>
      <c r="E574" s="229"/>
      <c r="F574" s="124">
        <f>F575</f>
        <v>28095.4</v>
      </c>
      <c r="G574" s="124"/>
      <c r="H574" s="124">
        <f>H575</f>
        <v>28095.4</v>
      </c>
      <c r="I574" s="124"/>
      <c r="J574" s="503">
        <f t="shared" ref="J574:J575" si="156">J575</f>
        <v>27633</v>
      </c>
      <c r="K574" s="511">
        <f t="shared" si="135"/>
        <v>0.98354178975917761</v>
      </c>
      <c r="L574" s="243"/>
      <c r="M574" s="511"/>
      <c r="N574" s="116"/>
      <c r="P574" s="116"/>
      <c r="Q574" s="116"/>
    </row>
    <row r="575" spans="1:17" s="106" customFormat="1" ht="31.5" x14ac:dyDescent="0.25">
      <c r="A575" s="197" t="s">
        <v>61</v>
      </c>
      <c r="B575" s="2" t="s">
        <v>8</v>
      </c>
      <c r="C575" s="4" t="s">
        <v>30</v>
      </c>
      <c r="D575" s="211" t="s">
        <v>724</v>
      </c>
      <c r="E575" s="220">
        <v>600</v>
      </c>
      <c r="F575" s="124">
        <f>F576</f>
        <v>28095.4</v>
      </c>
      <c r="G575" s="124"/>
      <c r="H575" s="124">
        <f>H576</f>
        <v>28095.4</v>
      </c>
      <c r="I575" s="124"/>
      <c r="J575" s="503">
        <f t="shared" si="156"/>
        <v>27633</v>
      </c>
      <c r="K575" s="511">
        <f t="shared" si="135"/>
        <v>0.98354178975917761</v>
      </c>
      <c r="L575" s="243"/>
      <c r="M575" s="511"/>
      <c r="N575" s="116"/>
      <c r="P575" s="116"/>
      <c r="Q575" s="116"/>
    </row>
    <row r="576" spans="1:17" s="106" customFormat="1" x14ac:dyDescent="0.25">
      <c r="A576" s="197" t="s">
        <v>62</v>
      </c>
      <c r="B576" s="1" t="s">
        <v>8</v>
      </c>
      <c r="C576" s="4" t="s">
        <v>30</v>
      </c>
      <c r="D576" s="211" t="s">
        <v>724</v>
      </c>
      <c r="E576" s="220">
        <v>610</v>
      </c>
      <c r="F576" s="124">
        <f>'ведом. 2024-2026'!AD665</f>
        <v>28095.4</v>
      </c>
      <c r="G576" s="243"/>
      <c r="H576" s="124">
        <f>'ведом. 2024-2026'!AE665</f>
        <v>28095.4</v>
      </c>
      <c r="I576" s="243"/>
      <c r="J576" s="503">
        <f>'ведом. 2024-2026'!AF665</f>
        <v>27633</v>
      </c>
      <c r="K576" s="511">
        <f t="shared" si="135"/>
        <v>0.98354178975917761</v>
      </c>
      <c r="L576" s="243"/>
      <c r="M576" s="511"/>
      <c r="N576" s="116"/>
      <c r="P576" s="116"/>
      <c r="Q576" s="116"/>
    </row>
    <row r="577" spans="1:17" s="106" customFormat="1" ht="47.25" x14ac:dyDescent="0.25">
      <c r="A577" s="199" t="s">
        <v>465</v>
      </c>
      <c r="B577" s="148" t="s">
        <v>8</v>
      </c>
      <c r="C577" s="4" t="s">
        <v>30</v>
      </c>
      <c r="D577" s="568" t="s">
        <v>500</v>
      </c>
      <c r="E577" s="220"/>
      <c r="F577" s="123">
        <f>F578+F581</f>
        <v>87403.3</v>
      </c>
      <c r="G577" s="227"/>
      <c r="H577" s="123">
        <f>H578+H581</f>
        <v>87403.3</v>
      </c>
      <c r="I577" s="227"/>
      <c r="J577" s="313">
        <f>J578+J581</f>
        <v>86594</v>
      </c>
      <c r="K577" s="511">
        <f t="shared" si="135"/>
        <v>0.99074062420984099</v>
      </c>
      <c r="L577" s="227"/>
      <c r="M577" s="511"/>
      <c r="N577" s="116"/>
      <c r="P577" s="116"/>
      <c r="Q577" s="116"/>
    </row>
    <row r="578" spans="1:17" s="106" customFormat="1" ht="31.5" x14ac:dyDescent="0.25">
      <c r="A578" s="199" t="s">
        <v>345</v>
      </c>
      <c r="B578" s="148" t="s">
        <v>8</v>
      </c>
      <c r="C578" s="4" t="s">
        <v>30</v>
      </c>
      <c r="D578" s="568" t="s">
        <v>501</v>
      </c>
      <c r="E578" s="602"/>
      <c r="F578" s="123">
        <f>F579</f>
        <v>79269.2</v>
      </c>
      <c r="G578" s="227"/>
      <c r="H578" s="123">
        <f>H579</f>
        <v>79269.2</v>
      </c>
      <c r="I578" s="227"/>
      <c r="J578" s="313">
        <f>J579</f>
        <v>78589.3</v>
      </c>
      <c r="K578" s="511">
        <f t="shared" si="135"/>
        <v>0.99142289817482709</v>
      </c>
      <c r="L578" s="227"/>
      <c r="M578" s="511"/>
      <c r="N578" s="116"/>
      <c r="P578" s="116"/>
      <c r="Q578" s="116"/>
    </row>
    <row r="579" spans="1:17" s="106" customFormat="1" ht="31.5" x14ac:dyDescent="0.25">
      <c r="A579" s="268" t="s">
        <v>61</v>
      </c>
      <c r="B579" s="148" t="s">
        <v>8</v>
      </c>
      <c r="C579" s="4" t="s">
        <v>30</v>
      </c>
      <c r="D579" s="568" t="s">
        <v>501</v>
      </c>
      <c r="E579" s="220">
        <v>600</v>
      </c>
      <c r="F579" s="123">
        <f>F580</f>
        <v>79269.2</v>
      </c>
      <c r="G579" s="227"/>
      <c r="H579" s="123">
        <f>H580</f>
        <v>79269.2</v>
      </c>
      <c r="I579" s="227"/>
      <c r="J579" s="313">
        <f>J580</f>
        <v>78589.3</v>
      </c>
      <c r="K579" s="511">
        <f t="shared" si="135"/>
        <v>0.99142289817482709</v>
      </c>
      <c r="L579" s="227"/>
      <c r="M579" s="511"/>
      <c r="N579" s="116"/>
      <c r="P579" s="116"/>
      <c r="Q579" s="116"/>
    </row>
    <row r="580" spans="1:17" s="106" customFormat="1" x14ac:dyDescent="0.25">
      <c r="A580" s="268" t="s">
        <v>62</v>
      </c>
      <c r="B580" s="148" t="s">
        <v>8</v>
      </c>
      <c r="C580" s="4" t="s">
        <v>30</v>
      </c>
      <c r="D580" s="568" t="s">
        <v>501</v>
      </c>
      <c r="E580" s="220">
        <v>610</v>
      </c>
      <c r="F580" s="123">
        <f>'ведом. 2024-2026'!AD669</f>
        <v>79269.2</v>
      </c>
      <c r="G580" s="227"/>
      <c r="H580" s="123">
        <f>'ведом. 2024-2026'!AE669</f>
        <v>79269.2</v>
      </c>
      <c r="I580" s="227"/>
      <c r="J580" s="313">
        <f>'ведом. 2024-2026'!AF669</f>
        <v>78589.3</v>
      </c>
      <c r="K580" s="511">
        <f t="shared" si="135"/>
        <v>0.99142289817482709</v>
      </c>
      <c r="L580" s="227"/>
      <c r="M580" s="511"/>
      <c r="N580" s="116"/>
      <c r="P580" s="116"/>
      <c r="Q580" s="116"/>
    </row>
    <row r="581" spans="1:17" s="106" customFormat="1" ht="31.5" x14ac:dyDescent="0.25">
      <c r="A581" s="268" t="s">
        <v>275</v>
      </c>
      <c r="B581" s="148" t="s">
        <v>8</v>
      </c>
      <c r="C581" s="4" t="s">
        <v>30</v>
      </c>
      <c r="D581" s="568" t="s">
        <v>502</v>
      </c>
      <c r="E581" s="220"/>
      <c r="F581" s="123">
        <f>F582</f>
        <v>8134.1</v>
      </c>
      <c r="G581" s="227"/>
      <c r="H581" s="123">
        <f>H582</f>
        <v>8134.1</v>
      </c>
      <c r="I581" s="227"/>
      <c r="J581" s="313">
        <f>J582</f>
        <v>8004.7</v>
      </c>
      <c r="K581" s="511">
        <f t="shared" si="135"/>
        <v>0.98409166349073651</v>
      </c>
      <c r="L581" s="227"/>
      <c r="M581" s="511"/>
      <c r="N581" s="116"/>
      <c r="P581" s="116"/>
      <c r="Q581" s="116"/>
    </row>
    <row r="582" spans="1:17" s="106" customFormat="1" ht="31.5" x14ac:dyDescent="0.25">
      <c r="A582" s="268" t="s">
        <v>61</v>
      </c>
      <c r="B582" s="148" t="s">
        <v>8</v>
      </c>
      <c r="C582" s="4" t="s">
        <v>30</v>
      </c>
      <c r="D582" s="568" t="s">
        <v>502</v>
      </c>
      <c r="E582" s="220">
        <v>600</v>
      </c>
      <c r="F582" s="123">
        <f>F583</f>
        <v>8134.1</v>
      </c>
      <c r="G582" s="227"/>
      <c r="H582" s="123">
        <f>H583</f>
        <v>8134.1</v>
      </c>
      <c r="I582" s="227"/>
      <c r="J582" s="313">
        <f>J583</f>
        <v>8004.7</v>
      </c>
      <c r="K582" s="511">
        <f t="shared" si="135"/>
        <v>0.98409166349073651</v>
      </c>
      <c r="L582" s="227"/>
      <c r="M582" s="511"/>
      <c r="N582" s="116"/>
      <c r="P582" s="116"/>
      <c r="Q582" s="116"/>
    </row>
    <row r="583" spans="1:17" s="106" customFormat="1" x14ac:dyDescent="0.25">
      <c r="A583" s="268" t="s">
        <v>62</v>
      </c>
      <c r="B583" s="148" t="s">
        <v>8</v>
      </c>
      <c r="C583" s="4" t="s">
        <v>30</v>
      </c>
      <c r="D583" s="568" t="s">
        <v>502</v>
      </c>
      <c r="E583" s="220">
        <v>610</v>
      </c>
      <c r="F583" s="123">
        <f>'ведом. 2024-2026'!AD672</f>
        <v>8134.1</v>
      </c>
      <c r="G583" s="227"/>
      <c r="H583" s="123">
        <f>'ведом. 2024-2026'!AE672</f>
        <v>8134.1</v>
      </c>
      <c r="I583" s="227"/>
      <c r="J583" s="313">
        <f>'ведом. 2024-2026'!AF672</f>
        <v>8004.7</v>
      </c>
      <c r="K583" s="511">
        <f t="shared" si="135"/>
        <v>0.98409166349073651</v>
      </c>
      <c r="L583" s="227"/>
      <c r="M583" s="511"/>
      <c r="N583" s="116"/>
      <c r="P583" s="116"/>
      <c r="Q583" s="116"/>
    </row>
    <row r="584" spans="1:17" s="106" customFormat="1" ht="141.75" x14ac:dyDescent="0.25">
      <c r="A584" s="200" t="s">
        <v>426</v>
      </c>
      <c r="B584" s="148" t="s">
        <v>8</v>
      </c>
      <c r="C584" s="4" t="s">
        <v>30</v>
      </c>
      <c r="D584" s="458" t="s">
        <v>503</v>
      </c>
      <c r="E584" s="221"/>
      <c r="F584" s="123">
        <f t="shared" ref="F584:L585" si="157">F585</f>
        <v>481329</v>
      </c>
      <c r="G584" s="227">
        <f t="shared" si="157"/>
        <v>481329</v>
      </c>
      <c r="H584" s="123">
        <f t="shared" si="157"/>
        <v>481329</v>
      </c>
      <c r="I584" s="227">
        <f t="shared" si="157"/>
        <v>481329</v>
      </c>
      <c r="J584" s="313">
        <f t="shared" si="157"/>
        <v>481287</v>
      </c>
      <c r="K584" s="511">
        <f t="shared" si="135"/>
        <v>0.99991274159670418</v>
      </c>
      <c r="L584" s="227">
        <f t="shared" si="157"/>
        <v>481287</v>
      </c>
      <c r="M584" s="511">
        <f t="shared" si="136"/>
        <v>0.99991274159670418</v>
      </c>
      <c r="N584" s="116"/>
      <c r="P584" s="116"/>
      <c r="Q584" s="116"/>
    </row>
    <row r="585" spans="1:17" s="106" customFormat="1" ht="31.5" x14ac:dyDescent="0.25">
      <c r="A585" s="268" t="s">
        <v>61</v>
      </c>
      <c r="B585" s="148" t="s">
        <v>8</v>
      </c>
      <c r="C585" s="4" t="s">
        <v>30</v>
      </c>
      <c r="D585" s="458" t="s">
        <v>503</v>
      </c>
      <c r="E585" s="220">
        <v>600</v>
      </c>
      <c r="F585" s="123">
        <f t="shared" si="157"/>
        <v>481329</v>
      </c>
      <c r="G585" s="227">
        <f t="shared" si="157"/>
        <v>481329</v>
      </c>
      <c r="H585" s="123">
        <f t="shared" si="157"/>
        <v>481329</v>
      </c>
      <c r="I585" s="227">
        <f t="shared" si="157"/>
        <v>481329</v>
      </c>
      <c r="J585" s="313">
        <f t="shared" si="157"/>
        <v>481287</v>
      </c>
      <c r="K585" s="511">
        <f t="shared" si="135"/>
        <v>0.99991274159670418</v>
      </c>
      <c r="L585" s="227">
        <f t="shared" si="157"/>
        <v>481287</v>
      </c>
      <c r="M585" s="511">
        <f t="shared" si="136"/>
        <v>0.99991274159670418</v>
      </c>
      <c r="N585" s="116"/>
      <c r="P585" s="116"/>
      <c r="Q585" s="116"/>
    </row>
    <row r="586" spans="1:17" s="106" customFormat="1" x14ac:dyDescent="0.25">
      <c r="A586" s="268" t="s">
        <v>62</v>
      </c>
      <c r="B586" s="148" t="s">
        <v>8</v>
      </c>
      <c r="C586" s="4" t="s">
        <v>30</v>
      </c>
      <c r="D586" s="458" t="s">
        <v>503</v>
      </c>
      <c r="E586" s="220">
        <v>610</v>
      </c>
      <c r="F586" s="123">
        <f>'ведом. 2024-2026'!AD675</f>
        <v>481329</v>
      </c>
      <c r="G586" s="227">
        <f>F586</f>
        <v>481329</v>
      </c>
      <c r="H586" s="123">
        <f>'ведом. 2024-2026'!AE675</f>
        <v>481329</v>
      </c>
      <c r="I586" s="227">
        <f>H586</f>
        <v>481329</v>
      </c>
      <c r="J586" s="313">
        <f>'ведом. 2024-2026'!AF675</f>
        <v>481287</v>
      </c>
      <c r="K586" s="511">
        <f t="shared" si="135"/>
        <v>0.99991274159670418</v>
      </c>
      <c r="L586" s="227">
        <f>J586</f>
        <v>481287</v>
      </c>
      <c r="M586" s="511">
        <f t="shared" si="136"/>
        <v>0.99991274159670418</v>
      </c>
      <c r="N586" s="116"/>
      <c r="P586" s="116"/>
      <c r="Q586" s="116"/>
    </row>
    <row r="587" spans="1:17" s="106" customFormat="1" ht="31.5" x14ac:dyDescent="0.25">
      <c r="A587" s="197" t="s">
        <v>687</v>
      </c>
      <c r="B587" s="1" t="s">
        <v>8</v>
      </c>
      <c r="C587" s="4" t="s">
        <v>30</v>
      </c>
      <c r="D587" s="211" t="s">
        <v>686</v>
      </c>
      <c r="E587" s="220"/>
      <c r="F587" s="123">
        <f>F588</f>
        <v>850</v>
      </c>
      <c r="G587" s="123">
        <f t="shared" ref="G587:L588" si="158">G588</f>
        <v>850</v>
      </c>
      <c r="H587" s="123">
        <f>H588</f>
        <v>850</v>
      </c>
      <c r="I587" s="123">
        <f t="shared" si="158"/>
        <v>850</v>
      </c>
      <c r="J587" s="313">
        <f t="shared" si="158"/>
        <v>600</v>
      </c>
      <c r="K587" s="511">
        <f t="shared" si="135"/>
        <v>0.70588235294117652</v>
      </c>
      <c r="L587" s="227">
        <f t="shared" si="158"/>
        <v>600</v>
      </c>
      <c r="M587" s="511">
        <f t="shared" si="136"/>
        <v>0.70588235294117652</v>
      </c>
      <c r="N587" s="116"/>
      <c r="P587" s="116"/>
      <c r="Q587" s="116"/>
    </row>
    <row r="588" spans="1:17" s="106" customFormat="1" ht="31.5" x14ac:dyDescent="0.25">
      <c r="A588" s="197" t="s">
        <v>61</v>
      </c>
      <c r="B588" s="1" t="s">
        <v>8</v>
      </c>
      <c r="C588" s="4" t="s">
        <v>30</v>
      </c>
      <c r="D588" s="211" t="s">
        <v>686</v>
      </c>
      <c r="E588" s="220">
        <v>600</v>
      </c>
      <c r="F588" s="123">
        <f>F589</f>
        <v>850</v>
      </c>
      <c r="G588" s="123">
        <f t="shared" si="158"/>
        <v>850</v>
      </c>
      <c r="H588" s="123">
        <f>H589</f>
        <v>850</v>
      </c>
      <c r="I588" s="123">
        <f t="shared" si="158"/>
        <v>850</v>
      </c>
      <c r="J588" s="313">
        <f t="shared" si="158"/>
        <v>600</v>
      </c>
      <c r="K588" s="511">
        <f t="shared" ref="K588:K651" si="159">J588/H588</f>
        <v>0.70588235294117652</v>
      </c>
      <c r="L588" s="227">
        <f t="shared" si="158"/>
        <v>600</v>
      </c>
      <c r="M588" s="511">
        <f t="shared" ref="M588:M651" si="160">L588/I588</f>
        <v>0.70588235294117652</v>
      </c>
      <c r="N588" s="116"/>
      <c r="P588" s="116"/>
      <c r="Q588" s="116"/>
    </row>
    <row r="589" spans="1:17" s="106" customFormat="1" x14ac:dyDescent="0.25">
      <c r="A589" s="197" t="s">
        <v>62</v>
      </c>
      <c r="B589" s="1" t="s">
        <v>8</v>
      </c>
      <c r="C589" s="4" t="s">
        <v>30</v>
      </c>
      <c r="D589" s="211" t="s">
        <v>686</v>
      </c>
      <c r="E589" s="220">
        <v>610</v>
      </c>
      <c r="F589" s="123">
        <f>'ведом. 2024-2026'!AD678</f>
        <v>850</v>
      </c>
      <c r="G589" s="227">
        <f>F589</f>
        <v>850</v>
      </c>
      <c r="H589" s="123">
        <f>'ведом. 2024-2026'!AE678</f>
        <v>850</v>
      </c>
      <c r="I589" s="227">
        <f>H589</f>
        <v>850</v>
      </c>
      <c r="J589" s="313">
        <f>'ведом. 2024-2026'!AF678</f>
        <v>600</v>
      </c>
      <c r="K589" s="511">
        <f t="shared" si="159"/>
        <v>0.70588235294117652</v>
      </c>
      <c r="L589" s="227">
        <f>J589</f>
        <v>600</v>
      </c>
      <c r="M589" s="511">
        <f t="shared" si="160"/>
        <v>0.70588235294117652</v>
      </c>
      <c r="N589" s="116"/>
      <c r="P589" s="116"/>
      <c r="Q589" s="116"/>
    </row>
    <row r="590" spans="1:17" s="106" customFormat="1" ht="94.5" x14ac:dyDescent="0.25">
      <c r="A590" s="347" t="s">
        <v>792</v>
      </c>
      <c r="B590" s="349" t="s">
        <v>8</v>
      </c>
      <c r="C590" s="350" t="s">
        <v>30</v>
      </c>
      <c r="D590" s="531" t="s">
        <v>793</v>
      </c>
      <c r="E590" s="427"/>
      <c r="F590" s="123">
        <f t="shared" ref="F590:J591" si="161">F591</f>
        <v>104.2</v>
      </c>
      <c r="G590" s="123">
        <f t="shared" si="161"/>
        <v>104.2</v>
      </c>
      <c r="H590" s="123">
        <f t="shared" si="161"/>
        <v>104.2</v>
      </c>
      <c r="I590" s="123">
        <f t="shared" si="161"/>
        <v>104.2</v>
      </c>
      <c r="J590" s="313">
        <f t="shared" si="161"/>
        <v>104.2</v>
      </c>
      <c r="K590" s="511">
        <f t="shared" si="159"/>
        <v>1</v>
      </c>
      <c r="L590" s="227">
        <f>L591</f>
        <v>104.2</v>
      </c>
      <c r="M590" s="511">
        <f t="shared" si="160"/>
        <v>1</v>
      </c>
      <c r="N590" s="116"/>
      <c r="P590" s="116"/>
      <c r="Q590" s="116"/>
    </row>
    <row r="591" spans="1:17" s="106" customFormat="1" ht="31.5" x14ac:dyDescent="0.25">
      <c r="A591" s="347" t="s">
        <v>61</v>
      </c>
      <c r="B591" s="349" t="s">
        <v>8</v>
      </c>
      <c r="C591" s="350" t="s">
        <v>30</v>
      </c>
      <c r="D591" s="531" t="s">
        <v>793</v>
      </c>
      <c r="E591" s="427">
        <v>600</v>
      </c>
      <c r="F591" s="123">
        <f t="shared" si="161"/>
        <v>104.2</v>
      </c>
      <c r="G591" s="123">
        <f t="shared" si="161"/>
        <v>104.2</v>
      </c>
      <c r="H591" s="123">
        <f t="shared" si="161"/>
        <v>104.2</v>
      </c>
      <c r="I591" s="123">
        <f t="shared" si="161"/>
        <v>104.2</v>
      </c>
      <c r="J591" s="313">
        <f t="shared" si="161"/>
        <v>104.2</v>
      </c>
      <c r="K591" s="511">
        <f t="shared" si="159"/>
        <v>1</v>
      </c>
      <c r="L591" s="227">
        <f>L592</f>
        <v>104.2</v>
      </c>
      <c r="M591" s="511">
        <f t="shared" si="160"/>
        <v>1</v>
      </c>
      <c r="N591" s="116"/>
      <c r="P591" s="116"/>
      <c r="Q591" s="116"/>
    </row>
    <row r="592" spans="1:17" s="106" customFormat="1" x14ac:dyDescent="0.25">
      <c r="A592" s="347" t="s">
        <v>62</v>
      </c>
      <c r="B592" s="349" t="s">
        <v>8</v>
      </c>
      <c r="C592" s="350" t="s">
        <v>30</v>
      </c>
      <c r="D592" s="531" t="s">
        <v>793</v>
      </c>
      <c r="E592" s="427">
        <v>610</v>
      </c>
      <c r="F592" s="123">
        <f>'ведом. 2024-2026'!AD681</f>
        <v>104.2</v>
      </c>
      <c r="G592" s="227">
        <f>F592</f>
        <v>104.2</v>
      </c>
      <c r="H592" s="123">
        <f>'ведом. 2024-2026'!AE681</f>
        <v>104.2</v>
      </c>
      <c r="I592" s="227">
        <f>H592</f>
        <v>104.2</v>
      </c>
      <c r="J592" s="313">
        <f>'ведом. 2024-2026'!AF681</f>
        <v>104.2</v>
      </c>
      <c r="K592" s="511">
        <f t="shared" si="159"/>
        <v>1</v>
      </c>
      <c r="L592" s="227">
        <v>104.2</v>
      </c>
      <c r="M592" s="511">
        <f t="shared" si="160"/>
        <v>1</v>
      </c>
      <c r="N592" s="116"/>
      <c r="P592" s="116"/>
      <c r="Q592" s="116"/>
    </row>
    <row r="593" spans="1:17" s="106" customFormat="1" ht="173.25" x14ac:dyDescent="0.25">
      <c r="A593" s="216" t="s">
        <v>425</v>
      </c>
      <c r="B593" s="148" t="s">
        <v>8</v>
      </c>
      <c r="C593" s="4" t="s">
        <v>30</v>
      </c>
      <c r="D593" s="459" t="s">
        <v>705</v>
      </c>
      <c r="E593" s="220"/>
      <c r="F593" s="123">
        <f t="shared" ref="F593:L594" si="162">F594</f>
        <v>34582</v>
      </c>
      <c r="G593" s="227">
        <f t="shared" si="162"/>
        <v>34582</v>
      </c>
      <c r="H593" s="123">
        <f t="shared" si="162"/>
        <v>34582</v>
      </c>
      <c r="I593" s="227">
        <f t="shared" si="162"/>
        <v>34582</v>
      </c>
      <c r="J593" s="313">
        <f t="shared" si="162"/>
        <v>34582</v>
      </c>
      <c r="K593" s="511">
        <f t="shared" si="159"/>
        <v>1</v>
      </c>
      <c r="L593" s="227">
        <f t="shared" si="162"/>
        <v>34582</v>
      </c>
      <c r="M593" s="511">
        <f t="shared" si="160"/>
        <v>1</v>
      </c>
      <c r="N593" s="116"/>
      <c r="P593" s="116"/>
      <c r="Q593" s="116"/>
    </row>
    <row r="594" spans="1:17" s="106" customFormat="1" ht="31.5" x14ac:dyDescent="0.25">
      <c r="A594" s="197" t="s">
        <v>61</v>
      </c>
      <c r="B594" s="148" t="s">
        <v>8</v>
      </c>
      <c r="C594" s="4" t="s">
        <v>30</v>
      </c>
      <c r="D594" s="459" t="s">
        <v>705</v>
      </c>
      <c r="E594" s="220">
        <v>600</v>
      </c>
      <c r="F594" s="123">
        <f t="shared" si="162"/>
        <v>34582</v>
      </c>
      <c r="G594" s="227">
        <f t="shared" si="162"/>
        <v>34582</v>
      </c>
      <c r="H594" s="123">
        <f t="shared" si="162"/>
        <v>34582</v>
      </c>
      <c r="I594" s="227">
        <f t="shared" si="162"/>
        <v>34582</v>
      </c>
      <c r="J594" s="313">
        <f t="shared" si="162"/>
        <v>34582</v>
      </c>
      <c r="K594" s="511">
        <f t="shared" si="159"/>
        <v>1</v>
      </c>
      <c r="L594" s="227">
        <f t="shared" si="162"/>
        <v>34582</v>
      </c>
      <c r="M594" s="511">
        <f t="shared" si="160"/>
        <v>1</v>
      </c>
      <c r="N594" s="116"/>
      <c r="P594" s="116"/>
      <c r="Q594" s="116"/>
    </row>
    <row r="595" spans="1:17" s="106" customFormat="1" x14ac:dyDescent="0.25">
      <c r="A595" s="197" t="s">
        <v>62</v>
      </c>
      <c r="B595" s="148" t="s">
        <v>8</v>
      </c>
      <c r="C595" s="4" t="s">
        <v>30</v>
      </c>
      <c r="D595" s="459" t="s">
        <v>705</v>
      </c>
      <c r="E595" s="220">
        <v>610</v>
      </c>
      <c r="F595" s="123">
        <f>'ведом. 2024-2026'!AD684</f>
        <v>34582</v>
      </c>
      <c r="G595" s="227">
        <f>F595</f>
        <v>34582</v>
      </c>
      <c r="H595" s="123">
        <f>'ведом. 2024-2026'!AE684</f>
        <v>34582</v>
      </c>
      <c r="I595" s="227">
        <f>H595</f>
        <v>34582</v>
      </c>
      <c r="J595" s="313">
        <f>'ведом. 2024-2026'!AF684</f>
        <v>34582</v>
      </c>
      <c r="K595" s="511">
        <f t="shared" si="159"/>
        <v>1</v>
      </c>
      <c r="L595" s="227">
        <f>J595</f>
        <v>34582</v>
      </c>
      <c r="M595" s="511">
        <f t="shared" si="160"/>
        <v>1</v>
      </c>
      <c r="N595" s="116"/>
      <c r="P595" s="116"/>
      <c r="Q595" s="116"/>
    </row>
    <row r="596" spans="1:17" s="106" customFormat="1" ht="47.25" x14ac:dyDescent="0.25">
      <c r="A596" s="199" t="s">
        <v>276</v>
      </c>
      <c r="B596" s="148" t="s">
        <v>8</v>
      </c>
      <c r="C596" s="4" t="s">
        <v>30</v>
      </c>
      <c r="D596" s="568" t="s">
        <v>126</v>
      </c>
      <c r="E596" s="220"/>
      <c r="F596" s="123">
        <f>F603+F597+F600</f>
        <v>48265.500000000007</v>
      </c>
      <c r="G596" s="123">
        <f t="shared" ref="G596:L596" si="163">G603+G597+G600</f>
        <v>41945.9</v>
      </c>
      <c r="H596" s="123">
        <f t="shared" si="163"/>
        <v>48265.500000000007</v>
      </c>
      <c r="I596" s="123">
        <f t="shared" si="163"/>
        <v>41945.9</v>
      </c>
      <c r="J596" s="313">
        <f t="shared" si="163"/>
        <v>47631.899999999994</v>
      </c>
      <c r="K596" s="511">
        <f t="shared" si="159"/>
        <v>0.98687261087111888</v>
      </c>
      <c r="L596" s="227">
        <f t="shared" si="163"/>
        <v>41427</v>
      </c>
      <c r="M596" s="511">
        <f t="shared" si="160"/>
        <v>0.98762930345993283</v>
      </c>
      <c r="N596" s="116"/>
      <c r="P596" s="116"/>
      <c r="Q596" s="116"/>
    </row>
    <row r="597" spans="1:17" s="106" customFormat="1" ht="31.5" x14ac:dyDescent="0.25">
      <c r="A597" s="268" t="s">
        <v>545</v>
      </c>
      <c r="B597" s="148" t="s">
        <v>8</v>
      </c>
      <c r="C597" s="4" t="s">
        <v>30</v>
      </c>
      <c r="D597" s="568" t="s">
        <v>504</v>
      </c>
      <c r="E597" s="220"/>
      <c r="F597" s="123">
        <f t="shared" ref="F597:L598" si="164">F598</f>
        <v>9</v>
      </c>
      <c r="G597" s="227">
        <f t="shared" si="164"/>
        <v>9</v>
      </c>
      <c r="H597" s="123">
        <f t="shared" si="164"/>
        <v>9</v>
      </c>
      <c r="I597" s="227">
        <f t="shared" si="164"/>
        <v>9</v>
      </c>
      <c r="J597" s="313">
        <f t="shared" si="164"/>
        <v>6.5</v>
      </c>
      <c r="K597" s="511">
        <f t="shared" si="159"/>
        <v>0.72222222222222221</v>
      </c>
      <c r="L597" s="227">
        <f t="shared" si="164"/>
        <v>6.5</v>
      </c>
      <c r="M597" s="511">
        <f t="shared" si="160"/>
        <v>0.72222222222222221</v>
      </c>
      <c r="N597" s="116"/>
      <c r="P597" s="116"/>
      <c r="Q597" s="116"/>
    </row>
    <row r="598" spans="1:17" s="106" customFormat="1" ht="31.5" x14ac:dyDescent="0.25">
      <c r="A598" s="268" t="s">
        <v>61</v>
      </c>
      <c r="B598" s="148" t="s">
        <v>8</v>
      </c>
      <c r="C598" s="4" t="s">
        <v>30</v>
      </c>
      <c r="D598" s="568" t="s">
        <v>504</v>
      </c>
      <c r="E598" s="221">
        <v>600</v>
      </c>
      <c r="F598" s="123">
        <f t="shared" si="164"/>
        <v>9</v>
      </c>
      <c r="G598" s="227">
        <f t="shared" si="164"/>
        <v>9</v>
      </c>
      <c r="H598" s="123">
        <f t="shared" si="164"/>
        <v>9</v>
      </c>
      <c r="I598" s="227">
        <f t="shared" si="164"/>
        <v>9</v>
      </c>
      <c r="J598" s="313">
        <f t="shared" si="164"/>
        <v>6.5</v>
      </c>
      <c r="K598" s="511">
        <f t="shared" si="159"/>
        <v>0.72222222222222221</v>
      </c>
      <c r="L598" s="227">
        <f t="shared" si="164"/>
        <v>6.5</v>
      </c>
      <c r="M598" s="511">
        <f t="shared" si="160"/>
        <v>0.72222222222222221</v>
      </c>
      <c r="N598" s="116"/>
      <c r="P598" s="116"/>
      <c r="Q598" s="116"/>
    </row>
    <row r="599" spans="1:17" s="106" customFormat="1" x14ac:dyDescent="0.25">
      <c r="A599" s="268" t="s">
        <v>62</v>
      </c>
      <c r="B599" s="148" t="s">
        <v>8</v>
      </c>
      <c r="C599" s="4" t="s">
        <v>30</v>
      </c>
      <c r="D599" s="568" t="s">
        <v>504</v>
      </c>
      <c r="E599" s="221">
        <v>610</v>
      </c>
      <c r="F599" s="123">
        <f>'ведом. 2024-2026'!AD688</f>
        <v>9</v>
      </c>
      <c r="G599" s="227">
        <f>F599</f>
        <v>9</v>
      </c>
      <c r="H599" s="123">
        <f>'ведом. 2024-2026'!AE688</f>
        <v>9</v>
      </c>
      <c r="I599" s="227">
        <f>H599</f>
        <v>9</v>
      </c>
      <c r="J599" s="313">
        <f>'ведом. 2024-2026'!AF688</f>
        <v>6.5</v>
      </c>
      <c r="K599" s="511">
        <f t="shared" si="159"/>
        <v>0.72222222222222221</v>
      </c>
      <c r="L599" s="227">
        <f>J599</f>
        <v>6.5</v>
      </c>
      <c r="M599" s="511">
        <f t="shared" si="160"/>
        <v>0.72222222222222221</v>
      </c>
      <c r="N599" s="116"/>
      <c r="P599" s="116"/>
      <c r="Q599" s="116"/>
    </row>
    <row r="600" spans="1:17" s="106" customFormat="1" ht="31.5" x14ac:dyDescent="0.25">
      <c r="A600" s="197" t="s">
        <v>379</v>
      </c>
      <c r="B600" s="148" t="s">
        <v>8</v>
      </c>
      <c r="C600" s="4" t="s">
        <v>30</v>
      </c>
      <c r="D600" s="458" t="s">
        <v>505</v>
      </c>
      <c r="E600" s="220"/>
      <c r="F600" s="123">
        <f t="shared" ref="F600:L601" si="165">F601</f>
        <v>30036.500000000007</v>
      </c>
      <c r="G600" s="227">
        <f t="shared" si="165"/>
        <v>27032.9</v>
      </c>
      <c r="H600" s="123">
        <f t="shared" si="165"/>
        <v>30036.500000000007</v>
      </c>
      <c r="I600" s="227">
        <f t="shared" si="165"/>
        <v>27032.9</v>
      </c>
      <c r="J600" s="313">
        <f t="shared" si="165"/>
        <v>30036.6</v>
      </c>
      <c r="K600" s="511">
        <f t="shared" si="159"/>
        <v>1.0000033292827057</v>
      </c>
      <c r="L600" s="227">
        <f t="shared" si="165"/>
        <v>27032.9</v>
      </c>
      <c r="M600" s="511">
        <f t="shared" si="160"/>
        <v>1</v>
      </c>
      <c r="N600" s="116"/>
      <c r="P600" s="116"/>
      <c r="Q600" s="116"/>
    </row>
    <row r="601" spans="1:17" s="106" customFormat="1" x14ac:dyDescent="0.25">
      <c r="A601" s="216" t="s">
        <v>121</v>
      </c>
      <c r="B601" s="148" t="s">
        <v>8</v>
      </c>
      <c r="C601" s="4" t="s">
        <v>30</v>
      </c>
      <c r="D601" s="458" t="s">
        <v>505</v>
      </c>
      <c r="E601" s="220">
        <v>200</v>
      </c>
      <c r="F601" s="123">
        <f t="shared" si="165"/>
        <v>30036.500000000007</v>
      </c>
      <c r="G601" s="227">
        <f t="shared" si="165"/>
        <v>27032.9</v>
      </c>
      <c r="H601" s="123">
        <f t="shared" si="165"/>
        <v>30036.500000000007</v>
      </c>
      <c r="I601" s="227">
        <f t="shared" si="165"/>
        <v>27032.9</v>
      </c>
      <c r="J601" s="313">
        <f t="shared" si="165"/>
        <v>30036.6</v>
      </c>
      <c r="K601" s="511">
        <f t="shared" si="159"/>
        <v>1.0000033292827057</v>
      </c>
      <c r="L601" s="227">
        <f t="shared" si="165"/>
        <v>27032.9</v>
      </c>
      <c r="M601" s="511">
        <f t="shared" si="160"/>
        <v>1</v>
      </c>
      <c r="N601" s="116"/>
      <c r="P601" s="116"/>
      <c r="Q601" s="116"/>
    </row>
    <row r="602" spans="1:17" s="106" customFormat="1" ht="31.5" x14ac:dyDescent="0.25">
      <c r="A602" s="216" t="s">
        <v>52</v>
      </c>
      <c r="B602" s="148" t="s">
        <v>8</v>
      </c>
      <c r="C602" s="4" t="s">
        <v>30</v>
      </c>
      <c r="D602" s="458" t="s">
        <v>505</v>
      </c>
      <c r="E602" s="220">
        <v>240</v>
      </c>
      <c r="F602" s="123">
        <f>'ведом. 2024-2026'!AD691</f>
        <v>30036.500000000007</v>
      </c>
      <c r="G602" s="227">
        <f>29950+4504.9-7422</f>
        <v>27032.9</v>
      </c>
      <c r="H602" s="123">
        <f>'ведом. 2024-2026'!AE691</f>
        <v>30036.500000000007</v>
      </c>
      <c r="I602" s="227">
        <f>29950+4504.9-7422</f>
        <v>27032.9</v>
      </c>
      <c r="J602" s="313">
        <f>'ведом. 2024-2026'!AF691</f>
        <v>30036.6</v>
      </c>
      <c r="K602" s="511">
        <f t="shared" si="159"/>
        <v>1.0000033292827057</v>
      </c>
      <c r="L602" s="227">
        <v>27032.9</v>
      </c>
      <c r="M602" s="511">
        <f t="shared" si="160"/>
        <v>1</v>
      </c>
      <c r="N602" s="116"/>
      <c r="P602" s="116"/>
      <c r="Q602" s="116"/>
    </row>
    <row r="603" spans="1:17" s="106" customFormat="1" ht="47.25" x14ac:dyDescent="0.25">
      <c r="A603" s="200" t="s">
        <v>407</v>
      </c>
      <c r="B603" s="148" t="s">
        <v>8</v>
      </c>
      <c r="C603" s="4" t="s">
        <v>30</v>
      </c>
      <c r="D603" s="568" t="s">
        <v>506</v>
      </c>
      <c r="E603" s="592"/>
      <c r="F603" s="123">
        <f t="shared" ref="F603:J604" si="166">F604</f>
        <v>18220</v>
      </c>
      <c r="G603" s="227">
        <f t="shared" si="166"/>
        <v>14904</v>
      </c>
      <c r="H603" s="123">
        <f t="shared" si="166"/>
        <v>18220</v>
      </c>
      <c r="I603" s="227">
        <f t="shared" si="166"/>
        <v>14904</v>
      </c>
      <c r="J603" s="313">
        <f t="shared" si="166"/>
        <v>17588.8</v>
      </c>
      <c r="K603" s="511">
        <f t="shared" si="159"/>
        <v>0.9653567508232711</v>
      </c>
      <c r="L603" s="227">
        <f>L604</f>
        <v>14387.6</v>
      </c>
      <c r="M603" s="511">
        <f t="shared" si="160"/>
        <v>0.96535158346752548</v>
      </c>
      <c r="N603" s="116"/>
      <c r="P603" s="116"/>
      <c r="Q603" s="116"/>
    </row>
    <row r="604" spans="1:17" s="106" customFormat="1" x14ac:dyDescent="0.25">
      <c r="A604" s="216" t="s">
        <v>121</v>
      </c>
      <c r="B604" s="148" t="s">
        <v>8</v>
      </c>
      <c r="C604" s="4" t="s">
        <v>30</v>
      </c>
      <c r="D604" s="568" t="s">
        <v>506</v>
      </c>
      <c r="E604" s="220">
        <v>200</v>
      </c>
      <c r="F604" s="123">
        <f t="shared" si="166"/>
        <v>18220</v>
      </c>
      <c r="G604" s="227">
        <f t="shared" si="166"/>
        <v>14904</v>
      </c>
      <c r="H604" s="123">
        <f t="shared" si="166"/>
        <v>18220</v>
      </c>
      <c r="I604" s="227">
        <f t="shared" si="166"/>
        <v>14904</v>
      </c>
      <c r="J604" s="313">
        <f t="shared" si="166"/>
        <v>17588.8</v>
      </c>
      <c r="K604" s="511">
        <f t="shared" si="159"/>
        <v>0.9653567508232711</v>
      </c>
      <c r="L604" s="227">
        <f>L605</f>
        <v>14387.6</v>
      </c>
      <c r="M604" s="511">
        <f t="shared" si="160"/>
        <v>0.96535158346752548</v>
      </c>
      <c r="N604" s="116"/>
      <c r="P604" s="116"/>
      <c r="Q604" s="116"/>
    </row>
    <row r="605" spans="1:17" s="106" customFormat="1" ht="31.5" x14ac:dyDescent="0.25">
      <c r="A605" s="216" t="s">
        <v>52</v>
      </c>
      <c r="B605" s="148" t="s">
        <v>8</v>
      </c>
      <c r="C605" s="4" t="s">
        <v>30</v>
      </c>
      <c r="D605" s="568" t="s">
        <v>506</v>
      </c>
      <c r="E605" s="220">
        <v>240</v>
      </c>
      <c r="F605" s="123">
        <f>'ведом. 2024-2026'!AD694</f>
        <v>18220</v>
      </c>
      <c r="G605" s="227">
        <f>16427+416-146-1793</f>
        <v>14904</v>
      </c>
      <c r="H605" s="123">
        <f>'ведом. 2024-2026'!AE694</f>
        <v>18220</v>
      </c>
      <c r="I605" s="227">
        <f>16427+416-146-1793</f>
        <v>14904</v>
      </c>
      <c r="J605" s="313">
        <f>'ведом. 2024-2026'!AF694</f>
        <v>17588.8</v>
      </c>
      <c r="K605" s="511">
        <f t="shared" si="159"/>
        <v>0.9653567508232711</v>
      </c>
      <c r="L605" s="227">
        <v>14387.6</v>
      </c>
      <c r="M605" s="511">
        <f t="shared" si="160"/>
        <v>0.96535158346752548</v>
      </c>
      <c r="N605" s="116"/>
      <c r="P605" s="116"/>
      <c r="Q605" s="116"/>
    </row>
    <row r="606" spans="1:17" s="106" customFormat="1" ht="47.25" x14ac:dyDescent="0.25">
      <c r="A606" s="199" t="s">
        <v>321</v>
      </c>
      <c r="B606" s="148" t="s">
        <v>8</v>
      </c>
      <c r="C606" s="4" t="s">
        <v>30</v>
      </c>
      <c r="D606" s="568" t="s">
        <v>507</v>
      </c>
      <c r="E606" s="221"/>
      <c r="F606" s="123">
        <f t="shared" ref="F606:L606" si="167">F607+F610</f>
        <v>14735.5</v>
      </c>
      <c r="G606" s="123">
        <f t="shared" si="167"/>
        <v>2912</v>
      </c>
      <c r="H606" s="123">
        <f t="shared" ref="H606:I606" si="168">H607+H610</f>
        <v>14735.5</v>
      </c>
      <c r="I606" s="123">
        <f t="shared" si="168"/>
        <v>2912</v>
      </c>
      <c r="J606" s="313">
        <f t="shared" si="167"/>
        <v>9721.4</v>
      </c>
      <c r="K606" s="511">
        <f t="shared" si="159"/>
        <v>0.65972651080723421</v>
      </c>
      <c r="L606" s="227">
        <f t="shared" si="167"/>
        <v>2570.4</v>
      </c>
      <c r="M606" s="511">
        <f t="shared" si="160"/>
        <v>0.88269230769230778</v>
      </c>
      <c r="N606" s="116"/>
      <c r="P606" s="116"/>
      <c r="Q606" s="116"/>
    </row>
    <row r="607" spans="1:17" s="106" customFormat="1" ht="47.25" x14ac:dyDescent="0.25">
      <c r="A607" s="199" t="s">
        <v>465</v>
      </c>
      <c r="B607" s="148" t="s">
        <v>8</v>
      </c>
      <c r="C607" s="4" t="s">
        <v>30</v>
      </c>
      <c r="D607" s="568" t="s">
        <v>508</v>
      </c>
      <c r="E607" s="221"/>
      <c r="F607" s="123">
        <f>F608</f>
        <v>11823.5</v>
      </c>
      <c r="G607" s="227"/>
      <c r="H607" s="123">
        <f>H608</f>
        <v>11823.5</v>
      </c>
      <c r="I607" s="227"/>
      <c r="J607" s="313">
        <f>J608</f>
        <v>7151</v>
      </c>
      <c r="K607" s="511">
        <f t="shared" si="159"/>
        <v>0.60481244978221338</v>
      </c>
      <c r="L607" s="227"/>
      <c r="M607" s="511"/>
      <c r="N607" s="116"/>
      <c r="P607" s="116"/>
      <c r="Q607" s="116"/>
    </row>
    <row r="608" spans="1:17" s="106" customFormat="1" ht="31.5" x14ac:dyDescent="0.25">
      <c r="A608" s="268" t="s">
        <v>61</v>
      </c>
      <c r="B608" s="148" t="s">
        <v>8</v>
      </c>
      <c r="C608" s="4" t="s">
        <v>30</v>
      </c>
      <c r="D608" s="568" t="s">
        <v>508</v>
      </c>
      <c r="E608" s="221">
        <v>600</v>
      </c>
      <c r="F608" s="123">
        <f>F609</f>
        <v>11823.5</v>
      </c>
      <c r="G608" s="227"/>
      <c r="H608" s="123">
        <f>H609</f>
        <v>11823.5</v>
      </c>
      <c r="I608" s="227"/>
      <c r="J608" s="313">
        <f>J609</f>
        <v>7151</v>
      </c>
      <c r="K608" s="511">
        <f t="shared" si="159"/>
        <v>0.60481244978221338</v>
      </c>
      <c r="L608" s="227"/>
      <c r="M608" s="511"/>
      <c r="N608" s="116"/>
      <c r="P608" s="116"/>
      <c r="Q608" s="116"/>
    </row>
    <row r="609" spans="1:17" s="106" customFormat="1" x14ac:dyDescent="0.25">
      <c r="A609" s="268" t="s">
        <v>62</v>
      </c>
      <c r="B609" s="148" t="s">
        <v>8</v>
      </c>
      <c r="C609" s="4" t="s">
        <v>30</v>
      </c>
      <c r="D609" s="568" t="s">
        <v>508</v>
      </c>
      <c r="E609" s="221">
        <v>610</v>
      </c>
      <c r="F609" s="123">
        <f>'ведом. 2024-2026'!AD698</f>
        <v>11823.5</v>
      </c>
      <c r="G609" s="227"/>
      <c r="H609" s="123">
        <f>'ведом. 2024-2026'!AE698</f>
        <v>11823.5</v>
      </c>
      <c r="I609" s="227"/>
      <c r="J609" s="313">
        <f>'ведом. 2024-2026'!AF698</f>
        <v>7151</v>
      </c>
      <c r="K609" s="511">
        <f t="shared" si="159"/>
        <v>0.60481244978221338</v>
      </c>
      <c r="L609" s="227"/>
      <c r="M609" s="511"/>
      <c r="N609" s="116"/>
      <c r="P609" s="116"/>
      <c r="Q609" s="116"/>
    </row>
    <row r="610" spans="1:17" s="106" customFormat="1" ht="63" x14ac:dyDescent="0.25">
      <c r="A610" s="197" t="s">
        <v>688</v>
      </c>
      <c r="B610" s="1" t="s">
        <v>8</v>
      </c>
      <c r="C610" s="4" t="s">
        <v>30</v>
      </c>
      <c r="D610" s="211" t="s">
        <v>685</v>
      </c>
      <c r="E610" s="223"/>
      <c r="F610" s="123">
        <f>F611</f>
        <v>2912</v>
      </c>
      <c r="G610" s="123">
        <f t="shared" ref="G610:L611" si="169">G611</f>
        <v>2912</v>
      </c>
      <c r="H610" s="123">
        <f>H611</f>
        <v>2912</v>
      </c>
      <c r="I610" s="123">
        <f t="shared" si="169"/>
        <v>2912</v>
      </c>
      <c r="J610" s="313">
        <f t="shared" si="169"/>
        <v>2570.4</v>
      </c>
      <c r="K610" s="511">
        <f t="shared" si="159"/>
        <v>0.88269230769230778</v>
      </c>
      <c r="L610" s="227">
        <f t="shared" si="169"/>
        <v>2570.4</v>
      </c>
      <c r="M610" s="511">
        <f t="shared" si="160"/>
        <v>0.88269230769230778</v>
      </c>
      <c r="N610" s="116"/>
      <c r="P610" s="116"/>
      <c r="Q610" s="116"/>
    </row>
    <row r="611" spans="1:17" s="106" customFormat="1" ht="31.5" x14ac:dyDescent="0.25">
      <c r="A611" s="197" t="s">
        <v>61</v>
      </c>
      <c r="B611" s="1" t="s">
        <v>8</v>
      </c>
      <c r="C611" s="4" t="s">
        <v>30</v>
      </c>
      <c r="D611" s="211" t="s">
        <v>685</v>
      </c>
      <c r="E611" s="221">
        <v>600</v>
      </c>
      <c r="F611" s="123">
        <f>F612</f>
        <v>2912</v>
      </c>
      <c r="G611" s="123">
        <f t="shared" si="169"/>
        <v>2912</v>
      </c>
      <c r="H611" s="123">
        <f>H612</f>
        <v>2912</v>
      </c>
      <c r="I611" s="123">
        <f t="shared" si="169"/>
        <v>2912</v>
      </c>
      <c r="J611" s="313">
        <f t="shared" si="169"/>
        <v>2570.4</v>
      </c>
      <c r="K611" s="511">
        <f t="shared" si="159"/>
        <v>0.88269230769230778</v>
      </c>
      <c r="L611" s="227">
        <f t="shared" si="169"/>
        <v>2570.4</v>
      </c>
      <c r="M611" s="511">
        <f t="shared" si="160"/>
        <v>0.88269230769230778</v>
      </c>
      <c r="N611" s="116"/>
      <c r="P611" s="116"/>
      <c r="Q611" s="116"/>
    </row>
    <row r="612" spans="1:17" s="106" customFormat="1" x14ac:dyDescent="0.25">
      <c r="A612" s="197" t="s">
        <v>62</v>
      </c>
      <c r="B612" s="1" t="s">
        <v>8</v>
      </c>
      <c r="C612" s="4" t="s">
        <v>30</v>
      </c>
      <c r="D612" s="211" t="s">
        <v>685</v>
      </c>
      <c r="E612" s="221">
        <v>610</v>
      </c>
      <c r="F612" s="123">
        <f>'ведом. 2024-2026'!AD706</f>
        <v>2912</v>
      </c>
      <c r="G612" s="227">
        <f>F612</f>
        <v>2912</v>
      </c>
      <c r="H612" s="123">
        <f>'ведом. 2024-2026'!AE706</f>
        <v>2912</v>
      </c>
      <c r="I612" s="227">
        <f>H612</f>
        <v>2912</v>
      </c>
      <c r="J612" s="313">
        <f>'ведом. 2024-2026'!AF706</f>
        <v>2570.4</v>
      </c>
      <c r="K612" s="511">
        <f t="shared" si="159"/>
        <v>0.88269230769230778</v>
      </c>
      <c r="L612" s="227">
        <f>J612</f>
        <v>2570.4</v>
      </c>
      <c r="M612" s="511">
        <f t="shared" si="160"/>
        <v>0.88269230769230778</v>
      </c>
      <c r="N612" s="116"/>
      <c r="P612" s="116"/>
      <c r="Q612" s="116"/>
    </row>
    <row r="613" spans="1:17" s="106" customFormat="1" x14ac:dyDescent="0.25">
      <c r="A613" s="197" t="s">
        <v>697</v>
      </c>
      <c r="B613" s="1" t="s">
        <v>8</v>
      </c>
      <c r="C613" s="4" t="s">
        <v>30</v>
      </c>
      <c r="D613" s="211" t="s">
        <v>698</v>
      </c>
      <c r="E613" s="221"/>
      <c r="F613" s="123">
        <f>F614</f>
        <v>6443.5</v>
      </c>
      <c r="G613" s="123">
        <f t="shared" ref="G613:J615" si="170">G614</f>
        <v>6255.7999999999993</v>
      </c>
      <c r="H613" s="123">
        <f>H614</f>
        <v>6443.5</v>
      </c>
      <c r="I613" s="123">
        <f t="shared" si="170"/>
        <v>6255.7999999999993</v>
      </c>
      <c r="J613" s="313">
        <f t="shared" si="170"/>
        <v>6380.6</v>
      </c>
      <c r="K613" s="511">
        <f t="shared" si="159"/>
        <v>0.99023822456739352</v>
      </c>
      <c r="L613" s="227">
        <f>L614</f>
        <v>6225</v>
      </c>
      <c r="M613" s="511">
        <f t="shared" si="160"/>
        <v>0.99507656894402008</v>
      </c>
      <c r="N613" s="116"/>
      <c r="P613" s="116"/>
      <c r="Q613" s="116"/>
    </row>
    <row r="614" spans="1:17" s="106" customFormat="1" ht="94.5" x14ac:dyDescent="0.25">
      <c r="A614" s="197" t="s">
        <v>700</v>
      </c>
      <c r="B614" s="1" t="s">
        <v>8</v>
      </c>
      <c r="C614" s="4" t="s">
        <v>30</v>
      </c>
      <c r="D614" s="211" t="s">
        <v>699</v>
      </c>
      <c r="E614" s="221"/>
      <c r="F614" s="123">
        <f>F615</f>
        <v>6443.5</v>
      </c>
      <c r="G614" s="123">
        <f t="shared" si="170"/>
        <v>6255.7999999999993</v>
      </c>
      <c r="H614" s="123">
        <f>H615</f>
        <v>6443.5</v>
      </c>
      <c r="I614" s="123">
        <f t="shared" si="170"/>
        <v>6255.7999999999993</v>
      </c>
      <c r="J614" s="313">
        <f t="shared" si="170"/>
        <v>6380.6</v>
      </c>
      <c r="K614" s="511">
        <f t="shared" si="159"/>
        <v>0.99023822456739352</v>
      </c>
      <c r="L614" s="227">
        <f>L615</f>
        <v>6225</v>
      </c>
      <c r="M614" s="511">
        <f t="shared" si="160"/>
        <v>0.99507656894402008</v>
      </c>
      <c r="N614" s="116"/>
      <c r="P614" s="116"/>
      <c r="Q614" s="116"/>
    </row>
    <row r="615" spans="1:17" s="106" customFormat="1" x14ac:dyDescent="0.25">
      <c r="A615" s="216" t="s">
        <v>121</v>
      </c>
      <c r="B615" s="1" t="s">
        <v>8</v>
      </c>
      <c r="C615" s="4" t="s">
        <v>30</v>
      </c>
      <c r="D615" s="211" t="s">
        <v>699</v>
      </c>
      <c r="E615" s="221">
        <v>200</v>
      </c>
      <c r="F615" s="123">
        <f>F616</f>
        <v>6443.5</v>
      </c>
      <c r="G615" s="123">
        <f>G616</f>
        <v>6255.7999999999993</v>
      </c>
      <c r="H615" s="123">
        <f>H616</f>
        <v>6443.5</v>
      </c>
      <c r="I615" s="123">
        <f>I616</f>
        <v>6255.7999999999993</v>
      </c>
      <c r="J615" s="313">
        <f t="shared" si="170"/>
        <v>6380.6</v>
      </c>
      <c r="K615" s="511">
        <f t="shared" si="159"/>
        <v>0.99023822456739352</v>
      </c>
      <c r="L615" s="227">
        <f>L616</f>
        <v>6225</v>
      </c>
      <c r="M615" s="511">
        <f t="shared" si="160"/>
        <v>0.99507656894402008</v>
      </c>
      <c r="N615" s="116"/>
      <c r="P615" s="116"/>
      <c r="Q615" s="116"/>
    </row>
    <row r="616" spans="1:17" s="106" customFormat="1" ht="31.5" x14ac:dyDescent="0.25">
      <c r="A616" s="216" t="s">
        <v>52</v>
      </c>
      <c r="B616" s="1" t="s">
        <v>8</v>
      </c>
      <c r="C616" s="4" t="s">
        <v>30</v>
      </c>
      <c r="D616" s="211" t="s">
        <v>699</v>
      </c>
      <c r="E616" s="221">
        <v>240</v>
      </c>
      <c r="F616" s="123">
        <f>'ведом. 2024-2026'!AD710</f>
        <v>6443.5</v>
      </c>
      <c r="G616" s="123">
        <f>7508.4-1252.6</f>
        <v>6255.7999999999993</v>
      </c>
      <c r="H616" s="123">
        <f>'ведом. 2024-2026'!AE710</f>
        <v>6443.5</v>
      </c>
      <c r="I616" s="123">
        <f>7508.4-1252.6</f>
        <v>6255.7999999999993</v>
      </c>
      <c r="J616" s="313">
        <f>'ведом. 2024-2026'!AF710</f>
        <v>6380.6</v>
      </c>
      <c r="K616" s="511">
        <f t="shared" si="159"/>
        <v>0.99023822456739352</v>
      </c>
      <c r="L616" s="227">
        <v>6225</v>
      </c>
      <c r="M616" s="511">
        <f t="shared" si="160"/>
        <v>0.99507656894402008</v>
      </c>
      <c r="N616" s="116"/>
      <c r="P616" s="116"/>
      <c r="Q616" s="116"/>
    </row>
    <row r="617" spans="1:17" s="106" customFormat="1" x14ac:dyDescent="0.25">
      <c r="A617" s="199" t="s">
        <v>490</v>
      </c>
      <c r="B617" s="148" t="s">
        <v>8</v>
      </c>
      <c r="C617" s="4" t="s">
        <v>30</v>
      </c>
      <c r="D617" s="458" t="s">
        <v>664</v>
      </c>
      <c r="E617" s="221"/>
      <c r="F617" s="123">
        <f t="shared" ref="F617:L619" si="171">F618</f>
        <v>1675.2</v>
      </c>
      <c r="G617" s="123">
        <f t="shared" si="171"/>
        <v>1675.2</v>
      </c>
      <c r="H617" s="123">
        <f t="shared" si="171"/>
        <v>1675.2</v>
      </c>
      <c r="I617" s="123">
        <f t="shared" si="171"/>
        <v>1675.2</v>
      </c>
      <c r="J617" s="313">
        <f t="shared" si="171"/>
        <v>1675.2</v>
      </c>
      <c r="K617" s="511">
        <f t="shared" si="159"/>
        <v>1</v>
      </c>
      <c r="L617" s="227">
        <f t="shared" si="171"/>
        <v>1675.2</v>
      </c>
      <c r="M617" s="511">
        <f t="shared" si="160"/>
        <v>1</v>
      </c>
      <c r="N617" s="116"/>
      <c r="P617" s="116"/>
      <c r="Q617" s="116"/>
    </row>
    <row r="618" spans="1:17" s="106" customFormat="1" ht="157.5" x14ac:dyDescent="0.25">
      <c r="A618" s="197" t="s">
        <v>660</v>
      </c>
      <c r="B618" s="1" t="s">
        <v>8</v>
      </c>
      <c r="C618" s="4" t="s">
        <v>30</v>
      </c>
      <c r="D618" s="574" t="s">
        <v>661</v>
      </c>
      <c r="E618" s="223"/>
      <c r="F618" s="123">
        <f t="shared" si="171"/>
        <v>1675.2</v>
      </c>
      <c r="G618" s="123">
        <f t="shared" si="171"/>
        <v>1675.2</v>
      </c>
      <c r="H618" s="123">
        <f t="shared" si="171"/>
        <v>1675.2</v>
      </c>
      <c r="I618" s="123">
        <f t="shared" si="171"/>
        <v>1675.2</v>
      </c>
      <c r="J618" s="313">
        <f t="shared" si="171"/>
        <v>1675.2</v>
      </c>
      <c r="K618" s="511">
        <f t="shared" si="159"/>
        <v>1</v>
      </c>
      <c r="L618" s="227">
        <f t="shared" si="171"/>
        <v>1675.2</v>
      </c>
      <c r="M618" s="511">
        <f t="shared" si="160"/>
        <v>1</v>
      </c>
      <c r="N618" s="116"/>
      <c r="P618" s="116"/>
      <c r="Q618" s="116"/>
    </row>
    <row r="619" spans="1:17" s="106" customFormat="1" ht="31.5" x14ac:dyDescent="0.25">
      <c r="A619" s="197" t="s">
        <v>61</v>
      </c>
      <c r="B619" s="1" t="s">
        <v>8</v>
      </c>
      <c r="C619" s="4" t="s">
        <v>30</v>
      </c>
      <c r="D619" s="574" t="s">
        <v>661</v>
      </c>
      <c r="E619" s="221">
        <v>600</v>
      </c>
      <c r="F619" s="123">
        <f t="shared" si="171"/>
        <v>1675.2</v>
      </c>
      <c r="G619" s="123">
        <f t="shared" si="171"/>
        <v>1675.2</v>
      </c>
      <c r="H619" s="123">
        <f t="shared" si="171"/>
        <v>1675.2</v>
      </c>
      <c r="I619" s="123">
        <f t="shared" si="171"/>
        <v>1675.2</v>
      </c>
      <c r="J619" s="313">
        <f t="shared" si="171"/>
        <v>1675.2</v>
      </c>
      <c r="K619" s="511">
        <f t="shared" si="159"/>
        <v>1</v>
      </c>
      <c r="L619" s="227">
        <f t="shared" si="171"/>
        <v>1675.2</v>
      </c>
      <c r="M619" s="511">
        <f t="shared" si="160"/>
        <v>1</v>
      </c>
      <c r="N619" s="116"/>
      <c r="P619" s="116"/>
      <c r="Q619" s="116"/>
    </row>
    <row r="620" spans="1:17" s="106" customFormat="1" x14ac:dyDescent="0.25">
      <c r="A620" s="197" t="s">
        <v>62</v>
      </c>
      <c r="B620" s="1" t="s">
        <v>8</v>
      </c>
      <c r="C620" s="4" t="s">
        <v>30</v>
      </c>
      <c r="D620" s="574" t="s">
        <v>661</v>
      </c>
      <c r="E620" s="221">
        <v>610</v>
      </c>
      <c r="F620" s="123">
        <f>'ведом. 2024-2026'!AD714</f>
        <v>1675.2</v>
      </c>
      <c r="G620" s="227">
        <f>F620</f>
        <v>1675.2</v>
      </c>
      <c r="H620" s="123">
        <f>'ведом. 2024-2026'!AE714</f>
        <v>1675.2</v>
      </c>
      <c r="I620" s="227">
        <f>H620</f>
        <v>1675.2</v>
      </c>
      <c r="J620" s="313">
        <f>'ведом. 2024-2026'!AF714</f>
        <v>1675.2</v>
      </c>
      <c r="K620" s="511">
        <f t="shared" si="159"/>
        <v>1</v>
      </c>
      <c r="L620" s="227">
        <f>J620</f>
        <v>1675.2</v>
      </c>
      <c r="M620" s="511">
        <f t="shared" si="160"/>
        <v>1</v>
      </c>
      <c r="N620" s="116"/>
      <c r="P620" s="116"/>
      <c r="Q620" s="116"/>
    </row>
    <row r="621" spans="1:17" s="106" customFormat="1" ht="31.5" x14ac:dyDescent="0.25">
      <c r="A621" s="202" t="s">
        <v>163</v>
      </c>
      <c r="B621" s="1" t="s">
        <v>8</v>
      </c>
      <c r="C621" s="4" t="s">
        <v>30</v>
      </c>
      <c r="D621" s="459" t="s">
        <v>103</v>
      </c>
      <c r="E621" s="221"/>
      <c r="F621" s="123">
        <f>F622</f>
        <v>10414</v>
      </c>
      <c r="G621" s="123"/>
      <c r="H621" s="123">
        <f>H622</f>
        <v>10414</v>
      </c>
      <c r="I621" s="123"/>
      <c r="J621" s="313">
        <f t="shared" ref="J621:J625" si="172">J622</f>
        <v>10413.5</v>
      </c>
      <c r="K621" s="511">
        <f t="shared" si="159"/>
        <v>0.99995198770885352</v>
      </c>
      <c r="L621" s="227"/>
      <c r="M621" s="511"/>
      <c r="N621" s="116"/>
      <c r="P621" s="116"/>
      <c r="Q621" s="116"/>
    </row>
    <row r="622" spans="1:17" s="106" customFormat="1" ht="31.5" x14ac:dyDescent="0.25">
      <c r="A622" s="202" t="s">
        <v>375</v>
      </c>
      <c r="B622" s="1" t="s">
        <v>8</v>
      </c>
      <c r="C622" s="4" t="s">
        <v>30</v>
      </c>
      <c r="D622" s="211" t="s">
        <v>105</v>
      </c>
      <c r="E622" s="220"/>
      <c r="F622" s="123">
        <f>F623</f>
        <v>10414</v>
      </c>
      <c r="G622" s="123"/>
      <c r="H622" s="123">
        <f>H623</f>
        <v>10414</v>
      </c>
      <c r="I622" s="123"/>
      <c r="J622" s="313">
        <f t="shared" si="172"/>
        <v>10413.5</v>
      </c>
      <c r="K622" s="511">
        <f t="shared" si="159"/>
        <v>0.99995198770885352</v>
      </c>
      <c r="L622" s="227"/>
      <c r="M622" s="511"/>
      <c r="N622" s="116"/>
      <c r="P622" s="116"/>
      <c r="Q622" s="116"/>
    </row>
    <row r="623" spans="1:17" s="106" customFormat="1" ht="31.5" x14ac:dyDescent="0.25">
      <c r="A623" s="201" t="s">
        <v>607</v>
      </c>
      <c r="B623" s="1" t="s">
        <v>8</v>
      </c>
      <c r="C623" s="4" t="s">
        <v>30</v>
      </c>
      <c r="D623" s="211" t="s">
        <v>125</v>
      </c>
      <c r="E623" s="223"/>
      <c r="F623" s="123">
        <f>F624</f>
        <v>10414</v>
      </c>
      <c r="G623" s="123"/>
      <c r="H623" s="123">
        <f>H624</f>
        <v>10414</v>
      </c>
      <c r="I623" s="123"/>
      <c r="J623" s="313">
        <f t="shared" si="172"/>
        <v>10413.5</v>
      </c>
      <c r="K623" s="511">
        <f t="shared" si="159"/>
        <v>0.99995198770885352</v>
      </c>
      <c r="L623" s="227"/>
      <c r="M623" s="511"/>
      <c r="N623" s="116"/>
      <c r="P623" s="116"/>
      <c r="Q623" s="116"/>
    </row>
    <row r="624" spans="1:17" s="106" customFormat="1" x14ac:dyDescent="0.25">
      <c r="A624" s="197" t="s">
        <v>173</v>
      </c>
      <c r="B624" s="1" t="s">
        <v>8</v>
      </c>
      <c r="C624" s="4" t="s">
        <v>30</v>
      </c>
      <c r="D624" s="211" t="s">
        <v>174</v>
      </c>
      <c r="E624" s="220"/>
      <c r="F624" s="123">
        <f>F625</f>
        <v>10414</v>
      </c>
      <c r="G624" s="123"/>
      <c r="H624" s="123">
        <f>H625</f>
        <v>10414</v>
      </c>
      <c r="I624" s="123"/>
      <c r="J624" s="313">
        <f t="shared" si="172"/>
        <v>10413.5</v>
      </c>
      <c r="K624" s="511">
        <f t="shared" si="159"/>
        <v>0.99995198770885352</v>
      </c>
      <c r="L624" s="227"/>
      <c r="M624" s="511"/>
      <c r="N624" s="24"/>
      <c r="P624" s="116"/>
      <c r="Q624" s="116"/>
    </row>
    <row r="625" spans="1:17" s="106" customFormat="1" ht="31.5" x14ac:dyDescent="0.25">
      <c r="A625" s="197" t="s">
        <v>61</v>
      </c>
      <c r="B625" s="1" t="s">
        <v>8</v>
      </c>
      <c r="C625" s="4" t="s">
        <v>30</v>
      </c>
      <c r="D625" s="211" t="s">
        <v>174</v>
      </c>
      <c r="E625" s="221">
        <v>600</v>
      </c>
      <c r="F625" s="123">
        <f>F626</f>
        <v>10414</v>
      </c>
      <c r="G625" s="123"/>
      <c r="H625" s="123">
        <f>H626</f>
        <v>10414</v>
      </c>
      <c r="I625" s="123"/>
      <c r="J625" s="313">
        <f t="shared" si="172"/>
        <v>10413.5</v>
      </c>
      <c r="K625" s="511">
        <f t="shared" si="159"/>
        <v>0.99995198770885352</v>
      </c>
      <c r="L625" s="227"/>
      <c r="M625" s="511"/>
      <c r="N625" s="116"/>
      <c r="P625" s="116"/>
      <c r="Q625" s="116"/>
    </row>
    <row r="626" spans="1:17" s="106" customFormat="1" x14ac:dyDescent="0.25">
      <c r="A626" s="197" t="s">
        <v>62</v>
      </c>
      <c r="B626" s="1" t="s">
        <v>8</v>
      </c>
      <c r="C626" s="4" t="s">
        <v>30</v>
      </c>
      <c r="D626" s="211" t="s">
        <v>174</v>
      </c>
      <c r="E626" s="221">
        <v>610</v>
      </c>
      <c r="F626" s="123">
        <f>'ведом. 2024-2026'!AD720</f>
        <v>10414</v>
      </c>
      <c r="G626" s="227"/>
      <c r="H626" s="123">
        <f>'ведом. 2024-2026'!AE720</f>
        <v>10414</v>
      </c>
      <c r="I626" s="227"/>
      <c r="J626" s="313">
        <f>'ведом. 2024-2026'!AF720</f>
        <v>10413.5</v>
      </c>
      <c r="K626" s="511">
        <f t="shared" si="159"/>
        <v>0.99995198770885352</v>
      </c>
      <c r="L626" s="227"/>
      <c r="M626" s="511"/>
      <c r="N626" s="116"/>
      <c r="P626" s="116"/>
      <c r="Q626" s="116"/>
    </row>
    <row r="627" spans="1:17" s="106" customFormat="1" ht="34.15" customHeight="1" x14ac:dyDescent="0.25">
      <c r="A627" s="197" t="s">
        <v>306</v>
      </c>
      <c r="B627" s="349" t="s">
        <v>8</v>
      </c>
      <c r="C627" s="350" t="s">
        <v>30</v>
      </c>
      <c r="D627" s="211" t="s">
        <v>132</v>
      </c>
      <c r="E627" s="588"/>
      <c r="F627" s="123">
        <f t="shared" ref="F627:H632" si="173">F628</f>
        <v>3500</v>
      </c>
      <c r="G627" s="123">
        <f t="shared" ref="G627:J632" si="174">G628</f>
        <v>2000</v>
      </c>
      <c r="H627" s="123">
        <f t="shared" si="173"/>
        <v>3500</v>
      </c>
      <c r="I627" s="123">
        <f t="shared" si="174"/>
        <v>2000</v>
      </c>
      <c r="J627" s="313">
        <f t="shared" si="174"/>
        <v>3496</v>
      </c>
      <c r="K627" s="511">
        <f t="shared" si="159"/>
        <v>0.99885714285714289</v>
      </c>
      <c r="L627" s="227">
        <f t="shared" ref="L627:L632" si="175">L628</f>
        <v>1997.6</v>
      </c>
      <c r="M627" s="511">
        <f t="shared" si="160"/>
        <v>0.99879999999999991</v>
      </c>
      <c r="N627" s="116"/>
      <c r="P627" s="116"/>
      <c r="Q627" s="116"/>
    </row>
    <row r="628" spans="1:17" s="106" customFormat="1" x14ac:dyDescent="0.25">
      <c r="A628" s="347" t="s">
        <v>771</v>
      </c>
      <c r="B628" s="349" t="s">
        <v>8</v>
      </c>
      <c r="C628" s="350" t="s">
        <v>30</v>
      </c>
      <c r="D628" s="211" t="s">
        <v>772</v>
      </c>
      <c r="E628" s="588"/>
      <c r="F628" s="123">
        <f t="shared" si="173"/>
        <v>3500</v>
      </c>
      <c r="G628" s="123">
        <f t="shared" si="174"/>
        <v>2000</v>
      </c>
      <c r="H628" s="123">
        <f t="shared" si="173"/>
        <v>3500</v>
      </c>
      <c r="I628" s="123">
        <f t="shared" si="174"/>
        <v>2000</v>
      </c>
      <c r="J628" s="313">
        <f t="shared" si="174"/>
        <v>3496</v>
      </c>
      <c r="K628" s="511">
        <f t="shared" si="159"/>
        <v>0.99885714285714289</v>
      </c>
      <c r="L628" s="227">
        <f t="shared" si="175"/>
        <v>1997.6</v>
      </c>
      <c r="M628" s="511">
        <f t="shared" si="160"/>
        <v>0.99879999999999991</v>
      </c>
      <c r="N628" s="116"/>
      <c r="P628" s="116"/>
      <c r="Q628" s="116"/>
    </row>
    <row r="629" spans="1:17" s="106" customFormat="1" x14ac:dyDescent="0.25">
      <c r="A629" s="347" t="s">
        <v>773</v>
      </c>
      <c r="B629" s="349" t="s">
        <v>8</v>
      </c>
      <c r="C629" s="350" t="s">
        <v>30</v>
      </c>
      <c r="D629" s="211" t="s">
        <v>774</v>
      </c>
      <c r="E629" s="588"/>
      <c r="F629" s="123">
        <f t="shared" si="173"/>
        <v>3500</v>
      </c>
      <c r="G629" s="123">
        <f t="shared" si="174"/>
        <v>2000</v>
      </c>
      <c r="H629" s="123">
        <f t="shared" si="173"/>
        <v>3500</v>
      </c>
      <c r="I629" s="123">
        <f t="shared" si="174"/>
        <v>2000</v>
      </c>
      <c r="J629" s="313">
        <f t="shared" si="174"/>
        <v>3496</v>
      </c>
      <c r="K629" s="511">
        <f t="shared" si="159"/>
        <v>0.99885714285714289</v>
      </c>
      <c r="L629" s="227">
        <f t="shared" si="175"/>
        <v>1997.6</v>
      </c>
      <c r="M629" s="511">
        <f t="shared" si="160"/>
        <v>0.99879999999999991</v>
      </c>
      <c r="N629" s="116"/>
      <c r="P629" s="116"/>
      <c r="Q629" s="116"/>
    </row>
    <row r="630" spans="1:17" s="106" customFormat="1" ht="31.5" x14ac:dyDescent="0.25">
      <c r="A630" s="347" t="s">
        <v>775</v>
      </c>
      <c r="B630" s="349" t="s">
        <v>8</v>
      </c>
      <c r="C630" s="350" t="s">
        <v>30</v>
      </c>
      <c r="D630" s="570" t="s">
        <v>776</v>
      </c>
      <c r="E630" s="588"/>
      <c r="F630" s="123">
        <f t="shared" si="173"/>
        <v>3500</v>
      </c>
      <c r="G630" s="123">
        <f t="shared" si="174"/>
        <v>2000</v>
      </c>
      <c r="H630" s="123">
        <f t="shared" si="173"/>
        <v>3500</v>
      </c>
      <c r="I630" s="123">
        <f t="shared" si="174"/>
        <v>2000</v>
      </c>
      <c r="J630" s="313">
        <f t="shared" si="174"/>
        <v>3496</v>
      </c>
      <c r="K630" s="511">
        <f t="shared" si="159"/>
        <v>0.99885714285714289</v>
      </c>
      <c r="L630" s="227">
        <f t="shared" si="175"/>
        <v>1997.6</v>
      </c>
      <c r="M630" s="511">
        <f t="shared" si="160"/>
        <v>0.99879999999999991</v>
      </c>
      <c r="N630" s="116"/>
      <c r="P630" s="116"/>
      <c r="Q630" s="116"/>
    </row>
    <row r="631" spans="1:17" s="106" customFormat="1" ht="47.25" x14ac:dyDescent="0.25">
      <c r="A631" s="347" t="s">
        <v>778</v>
      </c>
      <c r="B631" s="349" t="s">
        <v>8</v>
      </c>
      <c r="C631" s="350" t="s">
        <v>30</v>
      </c>
      <c r="D631" s="570" t="s">
        <v>777</v>
      </c>
      <c r="E631" s="588"/>
      <c r="F631" s="123">
        <f t="shared" si="173"/>
        <v>3500</v>
      </c>
      <c r="G631" s="123">
        <f t="shared" si="174"/>
        <v>2000</v>
      </c>
      <c r="H631" s="123">
        <f t="shared" si="173"/>
        <v>3500</v>
      </c>
      <c r="I631" s="123">
        <f t="shared" si="174"/>
        <v>2000</v>
      </c>
      <c r="J631" s="313">
        <f t="shared" si="174"/>
        <v>3496</v>
      </c>
      <c r="K631" s="511">
        <f t="shared" si="159"/>
        <v>0.99885714285714289</v>
      </c>
      <c r="L631" s="227">
        <f t="shared" si="175"/>
        <v>1997.6</v>
      </c>
      <c r="M631" s="511">
        <f t="shared" si="160"/>
        <v>0.99879999999999991</v>
      </c>
      <c r="N631" s="116"/>
      <c r="P631" s="116"/>
      <c r="Q631" s="116"/>
    </row>
    <row r="632" spans="1:17" s="106" customFormat="1" ht="31.5" x14ac:dyDescent="0.25">
      <c r="A632" s="347" t="s">
        <v>61</v>
      </c>
      <c r="B632" s="349" t="s">
        <v>8</v>
      </c>
      <c r="C632" s="350" t="s">
        <v>30</v>
      </c>
      <c r="D632" s="570" t="s">
        <v>777</v>
      </c>
      <c r="E632" s="588">
        <v>600</v>
      </c>
      <c r="F632" s="123">
        <f t="shared" si="173"/>
        <v>3500</v>
      </c>
      <c r="G632" s="123">
        <f t="shared" si="174"/>
        <v>2000</v>
      </c>
      <c r="H632" s="123">
        <f t="shared" si="173"/>
        <v>3500</v>
      </c>
      <c r="I632" s="123">
        <f t="shared" si="174"/>
        <v>2000</v>
      </c>
      <c r="J632" s="313">
        <f t="shared" si="174"/>
        <v>3496</v>
      </c>
      <c r="K632" s="511">
        <f t="shared" si="159"/>
        <v>0.99885714285714289</v>
      </c>
      <c r="L632" s="227">
        <f t="shared" si="175"/>
        <v>1997.6</v>
      </c>
      <c r="M632" s="511">
        <f t="shared" si="160"/>
        <v>0.99879999999999991</v>
      </c>
      <c r="N632" s="116"/>
      <c r="P632" s="116"/>
      <c r="Q632" s="116"/>
    </row>
    <row r="633" spans="1:17" s="106" customFormat="1" x14ac:dyDescent="0.25">
      <c r="A633" s="347" t="s">
        <v>62</v>
      </c>
      <c r="B633" s="349" t="s">
        <v>8</v>
      </c>
      <c r="C633" s="350" t="s">
        <v>30</v>
      </c>
      <c r="D633" s="570" t="s">
        <v>777</v>
      </c>
      <c r="E633" s="588">
        <v>610</v>
      </c>
      <c r="F633" s="123">
        <f>'ведом. 2024-2026'!AD727</f>
        <v>3500</v>
      </c>
      <c r="G633" s="227">
        <v>2000</v>
      </c>
      <c r="H633" s="123">
        <f>'ведом. 2024-2026'!AE727</f>
        <v>3500</v>
      </c>
      <c r="I633" s="227">
        <v>2000</v>
      </c>
      <c r="J633" s="313">
        <f>'ведом. 2024-2026'!AF727</f>
        <v>3496</v>
      </c>
      <c r="K633" s="511">
        <f t="shared" si="159"/>
        <v>0.99885714285714289</v>
      </c>
      <c r="L633" s="227">
        <v>1997.6</v>
      </c>
      <c r="M633" s="511">
        <f t="shared" si="160"/>
        <v>0.99879999999999991</v>
      </c>
      <c r="N633" s="116"/>
      <c r="P633" s="116"/>
      <c r="Q633" s="116"/>
    </row>
    <row r="634" spans="1:17" s="106" customFormat="1" x14ac:dyDescent="0.25">
      <c r="A634" s="268" t="s">
        <v>135</v>
      </c>
      <c r="B634" s="153" t="s">
        <v>8</v>
      </c>
      <c r="C634" s="4" t="s">
        <v>7</v>
      </c>
      <c r="D634" s="458"/>
      <c r="E634" s="220"/>
      <c r="F634" s="123">
        <f t="shared" ref="F634:L634" si="176">F649+F635+F674</f>
        <v>157622.9</v>
      </c>
      <c r="G634" s="123">
        <f t="shared" si="176"/>
        <v>9120</v>
      </c>
      <c r="H634" s="123">
        <f t="shared" si="176"/>
        <v>157622.9</v>
      </c>
      <c r="I634" s="123">
        <f t="shared" si="176"/>
        <v>9120</v>
      </c>
      <c r="J634" s="313">
        <f t="shared" si="176"/>
        <v>157181.59999999998</v>
      </c>
      <c r="K634" s="511">
        <f t="shared" si="159"/>
        <v>0.99720027990856652</v>
      </c>
      <c r="L634" s="227">
        <f t="shared" si="176"/>
        <v>8938</v>
      </c>
      <c r="M634" s="511">
        <f t="shared" si="160"/>
        <v>0.98004385964912277</v>
      </c>
      <c r="N634" s="116"/>
      <c r="P634" s="116"/>
      <c r="Q634" s="116"/>
    </row>
    <row r="635" spans="1:17" s="106" customFormat="1" x14ac:dyDescent="0.25">
      <c r="A635" s="199" t="s">
        <v>612</v>
      </c>
      <c r="B635" s="153" t="s">
        <v>8</v>
      </c>
      <c r="C635" s="4" t="s">
        <v>7</v>
      </c>
      <c r="D635" s="568" t="s">
        <v>115</v>
      </c>
      <c r="E635" s="592"/>
      <c r="F635" s="123">
        <f>F636</f>
        <v>71732.5</v>
      </c>
      <c r="G635" s="123">
        <f t="shared" ref="G635:J635" si="177">G636</f>
        <v>2130</v>
      </c>
      <c r="H635" s="123">
        <f>H636</f>
        <v>71732.5</v>
      </c>
      <c r="I635" s="123">
        <f t="shared" si="177"/>
        <v>2130</v>
      </c>
      <c r="J635" s="313">
        <f t="shared" si="177"/>
        <v>71728.3</v>
      </c>
      <c r="K635" s="511">
        <f t="shared" si="159"/>
        <v>0.99994144913393512</v>
      </c>
      <c r="L635" s="227">
        <f>L636</f>
        <v>2130</v>
      </c>
      <c r="M635" s="511">
        <f t="shared" si="160"/>
        <v>1</v>
      </c>
      <c r="N635" s="116"/>
      <c r="P635" s="116"/>
      <c r="Q635" s="116"/>
    </row>
    <row r="636" spans="1:17" s="106" customFormat="1" x14ac:dyDescent="0.25">
      <c r="A636" s="197" t="s">
        <v>530</v>
      </c>
      <c r="B636" s="153" t="s">
        <v>8</v>
      </c>
      <c r="C636" s="4" t="s">
        <v>7</v>
      </c>
      <c r="D636" s="568" t="s">
        <v>403</v>
      </c>
      <c r="E636" s="221"/>
      <c r="F636" s="123">
        <f>F637+F641+F645</f>
        <v>71732.5</v>
      </c>
      <c r="G636" s="123">
        <f t="shared" ref="G636:L636" si="178">G637+G641+G645</f>
        <v>2130</v>
      </c>
      <c r="H636" s="123">
        <f>H637+H641+H645</f>
        <v>71732.5</v>
      </c>
      <c r="I636" s="123">
        <f t="shared" ref="I636" si="179">I637+I641+I645</f>
        <v>2130</v>
      </c>
      <c r="J636" s="313">
        <f t="shared" si="178"/>
        <v>71728.3</v>
      </c>
      <c r="K636" s="511">
        <f t="shared" si="159"/>
        <v>0.99994144913393512</v>
      </c>
      <c r="L636" s="227">
        <f t="shared" si="178"/>
        <v>2130</v>
      </c>
      <c r="M636" s="511">
        <f t="shared" si="160"/>
        <v>1</v>
      </c>
      <c r="N636" s="116"/>
      <c r="P636" s="116"/>
      <c r="Q636" s="116"/>
    </row>
    <row r="637" spans="1:17" s="106" customFormat="1" ht="31.5" x14ac:dyDescent="0.25">
      <c r="A637" s="197" t="s">
        <v>401</v>
      </c>
      <c r="B637" s="148" t="s">
        <v>8</v>
      </c>
      <c r="C637" s="4" t="s">
        <v>7</v>
      </c>
      <c r="D637" s="568" t="s">
        <v>404</v>
      </c>
      <c r="E637" s="221"/>
      <c r="F637" s="123">
        <f>F638</f>
        <v>69402.5</v>
      </c>
      <c r="G637" s="227"/>
      <c r="H637" s="123">
        <f>H638</f>
        <v>69402.5</v>
      </c>
      <c r="I637" s="227"/>
      <c r="J637" s="313">
        <f>J638</f>
        <v>69398.3</v>
      </c>
      <c r="K637" s="511">
        <f t="shared" si="159"/>
        <v>0.99993948344800265</v>
      </c>
      <c r="L637" s="227"/>
      <c r="M637" s="511"/>
      <c r="N637" s="116"/>
      <c r="P637" s="116"/>
      <c r="Q637" s="116"/>
    </row>
    <row r="638" spans="1:17" s="106" customFormat="1" ht="31.5" x14ac:dyDescent="0.25">
      <c r="A638" s="268" t="s">
        <v>402</v>
      </c>
      <c r="B638" s="148" t="s">
        <v>8</v>
      </c>
      <c r="C638" s="4" t="s">
        <v>7</v>
      </c>
      <c r="D638" s="568" t="s">
        <v>405</v>
      </c>
      <c r="E638" s="221"/>
      <c r="F638" s="123">
        <f>F639</f>
        <v>69402.5</v>
      </c>
      <c r="G638" s="227"/>
      <c r="H638" s="123">
        <f>H639</f>
        <v>69402.5</v>
      </c>
      <c r="I638" s="227"/>
      <c r="J638" s="313">
        <f>J639</f>
        <v>69398.3</v>
      </c>
      <c r="K638" s="511">
        <f t="shared" si="159"/>
        <v>0.99993948344800265</v>
      </c>
      <c r="L638" s="227"/>
      <c r="M638" s="511"/>
      <c r="N638" s="116"/>
      <c r="P638" s="116"/>
      <c r="Q638" s="116"/>
    </row>
    <row r="639" spans="1:17" s="106" customFormat="1" ht="31.5" x14ac:dyDescent="0.25">
      <c r="A639" s="197" t="s">
        <v>61</v>
      </c>
      <c r="B639" s="148" t="s">
        <v>8</v>
      </c>
      <c r="C639" s="4" t="s">
        <v>7</v>
      </c>
      <c r="D639" s="568" t="s">
        <v>405</v>
      </c>
      <c r="E639" s="221">
        <v>600</v>
      </c>
      <c r="F639" s="123">
        <f>F640</f>
        <v>69402.5</v>
      </c>
      <c r="G639" s="227"/>
      <c r="H639" s="123">
        <f>H640</f>
        <v>69402.5</v>
      </c>
      <c r="I639" s="227"/>
      <c r="J639" s="313">
        <f>J640</f>
        <v>69398.3</v>
      </c>
      <c r="K639" s="511">
        <f t="shared" si="159"/>
        <v>0.99993948344800265</v>
      </c>
      <c r="L639" s="227"/>
      <c r="M639" s="511"/>
      <c r="N639" s="116"/>
      <c r="P639" s="116"/>
      <c r="Q639" s="116"/>
    </row>
    <row r="640" spans="1:17" s="106" customFormat="1" x14ac:dyDescent="0.25">
      <c r="A640" s="197" t="s">
        <v>62</v>
      </c>
      <c r="B640" s="148" t="s">
        <v>8</v>
      </c>
      <c r="C640" s="4" t="s">
        <v>7</v>
      </c>
      <c r="D640" s="568" t="s">
        <v>405</v>
      </c>
      <c r="E640" s="221">
        <v>610</v>
      </c>
      <c r="F640" s="123">
        <f>'ведом. 2024-2026'!AD321</f>
        <v>69402.5</v>
      </c>
      <c r="G640" s="227"/>
      <c r="H640" s="123">
        <f>'ведом. 2024-2026'!AE321</f>
        <v>69402.5</v>
      </c>
      <c r="I640" s="227"/>
      <c r="J640" s="313">
        <f>'ведом. 2024-2026'!AF321</f>
        <v>69398.3</v>
      </c>
      <c r="K640" s="511">
        <f t="shared" si="159"/>
        <v>0.99993948344800265</v>
      </c>
      <c r="L640" s="227"/>
      <c r="M640" s="511"/>
      <c r="N640" s="116"/>
      <c r="P640" s="116"/>
      <c r="Q640" s="116"/>
    </row>
    <row r="641" spans="1:17" s="106" customFormat="1" ht="31.5" x14ac:dyDescent="0.25">
      <c r="A641" s="197" t="s">
        <v>718</v>
      </c>
      <c r="B641" s="1" t="s">
        <v>8</v>
      </c>
      <c r="C641" s="4" t="s">
        <v>7</v>
      </c>
      <c r="D641" s="211" t="s">
        <v>800</v>
      </c>
      <c r="E641" s="221"/>
      <c r="F641" s="123">
        <f>F642</f>
        <v>200</v>
      </c>
      <c r="G641" s="123"/>
      <c r="H641" s="123">
        <f>H642</f>
        <v>200</v>
      </c>
      <c r="I641" s="123"/>
      <c r="J641" s="313">
        <f t="shared" ref="J641:J643" si="180">J642</f>
        <v>200</v>
      </c>
      <c r="K641" s="511">
        <f t="shared" si="159"/>
        <v>1</v>
      </c>
      <c r="L641" s="227"/>
      <c r="M641" s="511"/>
      <c r="N641" s="116"/>
      <c r="P641" s="116"/>
      <c r="Q641" s="116"/>
    </row>
    <row r="642" spans="1:17" s="106" customFormat="1" ht="31.5" x14ac:dyDescent="0.25">
      <c r="A642" s="197" t="s">
        <v>719</v>
      </c>
      <c r="B642" s="1" t="s">
        <v>8</v>
      </c>
      <c r="C642" s="4" t="s">
        <v>7</v>
      </c>
      <c r="D642" s="211" t="s">
        <v>801</v>
      </c>
      <c r="E642" s="221"/>
      <c r="F642" s="123">
        <f>F643</f>
        <v>200</v>
      </c>
      <c r="G642" s="123"/>
      <c r="H642" s="123">
        <f>H643</f>
        <v>200</v>
      </c>
      <c r="I642" s="123"/>
      <c r="J642" s="313">
        <f t="shared" si="180"/>
        <v>200</v>
      </c>
      <c r="K642" s="511">
        <f t="shared" si="159"/>
        <v>1</v>
      </c>
      <c r="L642" s="227"/>
      <c r="M642" s="511"/>
      <c r="N642" s="116"/>
      <c r="P642" s="116"/>
      <c r="Q642" s="116"/>
    </row>
    <row r="643" spans="1:17" s="106" customFormat="1" ht="31.5" x14ac:dyDescent="0.25">
      <c r="A643" s="270" t="s">
        <v>61</v>
      </c>
      <c r="B643" s="1" t="s">
        <v>8</v>
      </c>
      <c r="C643" s="4" t="s">
        <v>7</v>
      </c>
      <c r="D643" s="211" t="s">
        <v>801</v>
      </c>
      <c r="E643" s="221">
        <v>600</v>
      </c>
      <c r="F643" s="123">
        <f>F644</f>
        <v>200</v>
      </c>
      <c r="G643" s="123"/>
      <c r="H643" s="123">
        <f>H644</f>
        <v>200</v>
      </c>
      <c r="I643" s="123"/>
      <c r="J643" s="313">
        <f t="shared" si="180"/>
        <v>200</v>
      </c>
      <c r="K643" s="511">
        <f t="shared" si="159"/>
        <v>1</v>
      </c>
      <c r="L643" s="227"/>
      <c r="M643" s="511"/>
      <c r="N643" s="116"/>
      <c r="P643" s="116"/>
      <c r="Q643" s="116"/>
    </row>
    <row r="644" spans="1:17" s="106" customFormat="1" x14ac:dyDescent="0.25">
      <c r="A644" s="197" t="s">
        <v>62</v>
      </c>
      <c r="B644" s="1" t="s">
        <v>8</v>
      </c>
      <c r="C644" s="4" t="s">
        <v>7</v>
      </c>
      <c r="D644" s="211" t="s">
        <v>801</v>
      </c>
      <c r="E644" s="221">
        <v>610</v>
      </c>
      <c r="F644" s="123">
        <f>'ведом. 2024-2026'!AD325</f>
        <v>200</v>
      </c>
      <c r="G644" s="227"/>
      <c r="H644" s="123">
        <f>'ведом. 2024-2026'!AE325</f>
        <v>200</v>
      </c>
      <c r="I644" s="227"/>
      <c r="J644" s="313">
        <f>'ведом. 2024-2026'!AF325</f>
        <v>200</v>
      </c>
      <c r="K644" s="511">
        <f t="shared" si="159"/>
        <v>1</v>
      </c>
      <c r="L644" s="227"/>
      <c r="M644" s="511"/>
      <c r="N644" s="116"/>
      <c r="P644" s="116"/>
      <c r="Q644" s="116"/>
    </row>
    <row r="645" spans="1:17" s="106" customFormat="1" ht="31.5" x14ac:dyDescent="0.25">
      <c r="A645" s="347" t="s">
        <v>797</v>
      </c>
      <c r="B645" s="349" t="s">
        <v>8</v>
      </c>
      <c r="C645" s="350" t="s">
        <v>7</v>
      </c>
      <c r="D645" s="570" t="s">
        <v>799</v>
      </c>
      <c r="E645" s="588"/>
      <c r="F645" s="123">
        <f>F646</f>
        <v>2130</v>
      </c>
      <c r="G645" s="123">
        <f t="shared" ref="G645:J645" si="181">G646</f>
        <v>2130</v>
      </c>
      <c r="H645" s="123">
        <f>H646</f>
        <v>2130</v>
      </c>
      <c r="I645" s="123">
        <f t="shared" si="181"/>
        <v>2130</v>
      </c>
      <c r="J645" s="313">
        <f t="shared" si="181"/>
        <v>2130</v>
      </c>
      <c r="K645" s="511">
        <f t="shared" si="159"/>
        <v>1</v>
      </c>
      <c r="L645" s="227">
        <f>L646</f>
        <v>2130</v>
      </c>
      <c r="M645" s="511">
        <f t="shared" si="160"/>
        <v>1</v>
      </c>
      <c r="N645" s="116"/>
      <c r="P645" s="116"/>
      <c r="Q645" s="116"/>
    </row>
    <row r="646" spans="1:17" s="106" customFormat="1" ht="31.5" x14ac:dyDescent="0.25">
      <c r="A646" s="347" t="s">
        <v>796</v>
      </c>
      <c r="B646" s="349" t="s">
        <v>8</v>
      </c>
      <c r="C646" s="350" t="s">
        <v>7</v>
      </c>
      <c r="D646" s="570" t="s">
        <v>798</v>
      </c>
      <c r="E646" s="588"/>
      <c r="F646" s="123">
        <f>F647</f>
        <v>2130</v>
      </c>
      <c r="G646" s="123">
        <f t="shared" ref="G646:J646" si="182">G647</f>
        <v>2130</v>
      </c>
      <c r="H646" s="123">
        <f>H647</f>
        <v>2130</v>
      </c>
      <c r="I646" s="123">
        <f t="shared" si="182"/>
        <v>2130</v>
      </c>
      <c r="J646" s="313">
        <f t="shared" si="182"/>
        <v>2130</v>
      </c>
      <c r="K646" s="511">
        <f t="shared" si="159"/>
        <v>1</v>
      </c>
      <c r="L646" s="227">
        <f>L647</f>
        <v>2130</v>
      </c>
      <c r="M646" s="511">
        <f t="shared" si="160"/>
        <v>1</v>
      </c>
      <c r="N646" s="116"/>
      <c r="P646" s="116"/>
      <c r="Q646" s="116"/>
    </row>
    <row r="647" spans="1:17" s="106" customFormat="1" ht="31.5" x14ac:dyDescent="0.25">
      <c r="A647" s="402" t="s">
        <v>61</v>
      </c>
      <c r="B647" s="349" t="s">
        <v>8</v>
      </c>
      <c r="C647" s="350" t="s">
        <v>7</v>
      </c>
      <c r="D647" s="570" t="s">
        <v>798</v>
      </c>
      <c r="E647" s="588">
        <v>600</v>
      </c>
      <c r="F647" s="123">
        <f>F648</f>
        <v>2130</v>
      </c>
      <c r="G647" s="123">
        <f t="shared" ref="G647:J647" si="183">G648</f>
        <v>2130</v>
      </c>
      <c r="H647" s="123">
        <f>H648</f>
        <v>2130</v>
      </c>
      <c r="I647" s="123">
        <f t="shared" si="183"/>
        <v>2130</v>
      </c>
      <c r="J647" s="313">
        <f t="shared" si="183"/>
        <v>2130</v>
      </c>
      <c r="K647" s="511">
        <f t="shared" si="159"/>
        <v>1</v>
      </c>
      <c r="L647" s="227">
        <f>L648</f>
        <v>2130</v>
      </c>
      <c r="M647" s="511">
        <f t="shared" si="160"/>
        <v>1</v>
      </c>
      <c r="N647" s="116"/>
      <c r="P647" s="116"/>
      <c r="Q647" s="116"/>
    </row>
    <row r="648" spans="1:17" s="106" customFormat="1" x14ac:dyDescent="0.25">
      <c r="A648" s="347" t="s">
        <v>62</v>
      </c>
      <c r="B648" s="349" t="s">
        <v>8</v>
      </c>
      <c r="C648" s="350" t="s">
        <v>7</v>
      </c>
      <c r="D648" s="570" t="s">
        <v>798</v>
      </c>
      <c r="E648" s="588">
        <v>610</v>
      </c>
      <c r="F648" s="123">
        <f>'ведом. 2024-2026'!AD329</f>
        <v>2130</v>
      </c>
      <c r="G648" s="227">
        <f>F648</f>
        <v>2130</v>
      </c>
      <c r="H648" s="123">
        <f>'ведом. 2024-2026'!AE329</f>
        <v>2130</v>
      </c>
      <c r="I648" s="227">
        <f>H648</f>
        <v>2130</v>
      </c>
      <c r="J648" s="313">
        <f>'ведом. 2024-2026'!AF329</f>
        <v>2130</v>
      </c>
      <c r="K648" s="511">
        <f t="shared" si="159"/>
        <v>1</v>
      </c>
      <c r="L648" s="227">
        <v>2130</v>
      </c>
      <c r="M648" s="511">
        <f t="shared" si="160"/>
        <v>1</v>
      </c>
      <c r="N648" s="116"/>
      <c r="P648" s="116"/>
      <c r="Q648" s="116"/>
    </row>
    <row r="649" spans="1:17" s="106" customFormat="1" x14ac:dyDescent="0.25">
      <c r="A649" s="278" t="s">
        <v>270</v>
      </c>
      <c r="B649" s="153" t="s">
        <v>8</v>
      </c>
      <c r="C649" s="4" t="s">
        <v>7</v>
      </c>
      <c r="D649" s="458" t="s">
        <v>101</v>
      </c>
      <c r="E649" s="220"/>
      <c r="F649" s="123">
        <f t="shared" ref="F649:L649" si="184">F655+F650</f>
        <v>81490.399999999994</v>
      </c>
      <c r="G649" s="123">
        <f t="shared" si="184"/>
        <v>6990</v>
      </c>
      <c r="H649" s="123">
        <f t="shared" ref="H649:I649" si="185">H655+H650</f>
        <v>81490.399999999994</v>
      </c>
      <c r="I649" s="123">
        <f t="shared" si="185"/>
        <v>6990</v>
      </c>
      <c r="J649" s="313">
        <f t="shared" si="184"/>
        <v>81173.5</v>
      </c>
      <c r="K649" s="511">
        <f t="shared" si="159"/>
        <v>0.99611119837428708</v>
      </c>
      <c r="L649" s="227">
        <f t="shared" si="184"/>
        <v>6808</v>
      </c>
      <c r="M649" s="511">
        <f t="shared" si="160"/>
        <v>0.97396280400572244</v>
      </c>
      <c r="N649" s="116"/>
      <c r="P649" s="116"/>
      <c r="Q649" s="116"/>
    </row>
    <row r="650" spans="1:17" s="106" customFormat="1" x14ac:dyDescent="0.25">
      <c r="A650" s="199" t="s">
        <v>273</v>
      </c>
      <c r="B650" s="148" t="s">
        <v>8</v>
      </c>
      <c r="C650" s="4" t="s">
        <v>7</v>
      </c>
      <c r="D650" s="568" t="s">
        <v>118</v>
      </c>
      <c r="E650" s="220"/>
      <c r="F650" s="123">
        <f t="shared" ref="F650:L653" si="186">F651</f>
        <v>4942</v>
      </c>
      <c r="G650" s="227">
        <f t="shared" si="186"/>
        <v>4942</v>
      </c>
      <c r="H650" s="123">
        <f t="shared" si="186"/>
        <v>4942</v>
      </c>
      <c r="I650" s="227">
        <f t="shared" si="186"/>
        <v>4942</v>
      </c>
      <c r="J650" s="313">
        <f t="shared" si="186"/>
        <v>4760</v>
      </c>
      <c r="K650" s="511">
        <f t="shared" si="159"/>
        <v>0.96317280453257792</v>
      </c>
      <c r="L650" s="227">
        <f t="shared" si="186"/>
        <v>4760</v>
      </c>
      <c r="M650" s="511">
        <f t="shared" si="160"/>
        <v>0.96317280453257792</v>
      </c>
      <c r="N650" s="116"/>
      <c r="P650" s="116"/>
      <c r="Q650" s="116"/>
    </row>
    <row r="651" spans="1:17" s="106" customFormat="1" ht="31.5" x14ac:dyDescent="0.25">
      <c r="A651" s="214" t="s">
        <v>274</v>
      </c>
      <c r="B651" s="148" t="s">
        <v>8</v>
      </c>
      <c r="C651" s="4" t="s">
        <v>7</v>
      </c>
      <c r="D651" s="568" t="s">
        <v>478</v>
      </c>
      <c r="E651" s="220"/>
      <c r="F651" s="123">
        <f t="shared" si="186"/>
        <v>4942</v>
      </c>
      <c r="G651" s="227">
        <f t="shared" si="186"/>
        <v>4942</v>
      </c>
      <c r="H651" s="123">
        <f t="shared" si="186"/>
        <v>4942</v>
      </c>
      <c r="I651" s="227">
        <f t="shared" si="186"/>
        <v>4942</v>
      </c>
      <c r="J651" s="313">
        <f t="shared" si="186"/>
        <v>4760</v>
      </c>
      <c r="K651" s="511">
        <f t="shared" si="159"/>
        <v>0.96317280453257792</v>
      </c>
      <c r="L651" s="227">
        <f t="shared" si="186"/>
        <v>4760</v>
      </c>
      <c r="M651" s="511">
        <f t="shared" si="160"/>
        <v>0.96317280453257792</v>
      </c>
      <c r="N651" s="116"/>
      <c r="P651" s="116"/>
      <c r="Q651" s="116"/>
    </row>
    <row r="652" spans="1:17" s="106" customFormat="1" ht="141.75" x14ac:dyDescent="0.25">
      <c r="A652" s="200" t="s">
        <v>426</v>
      </c>
      <c r="B652" s="149" t="s">
        <v>8</v>
      </c>
      <c r="C652" s="143" t="s">
        <v>7</v>
      </c>
      <c r="D652" s="568" t="s">
        <v>503</v>
      </c>
      <c r="E652" s="220"/>
      <c r="F652" s="123">
        <f t="shared" si="186"/>
        <v>4942</v>
      </c>
      <c r="G652" s="227">
        <f t="shared" si="186"/>
        <v>4942</v>
      </c>
      <c r="H652" s="123">
        <f t="shared" si="186"/>
        <v>4942</v>
      </c>
      <c r="I652" s="227">
        <f t="shared" si="186"/>
        <v>4942</v>
      </c>
      <c r="J652" s="313">
        <f t="shared" si="186"/>
        <v>4760</v>
      </c>
      <c r="K652" s="511">
        <f t="shared" ref="K652:K715" si="187">J652/H652</f>
        <v>0.96317280453257792</v>
      </c>
      <c r="L652" s="227">
        <f t="shared" si="186"/>
        <v>4760</v>
      </c>
      <c r="M652" s="511">
        <f t="shared" ref="M652:M715" si="188">L652/I652</f>
        <v>0.96317280453257792</v>
      </c>
      <c r="N652" s="116"/>
      <c r="P652" s="116"/>
      <c r="Q652" s="116"/>
    </row>
    <row r="653" spans="1:17" s="106" customFormat="1" ht="31.5" x14ac:dyDescent="0.25">
      <c r="A653" s="197" t="s">
        <v>61</v>
      </c>
      <c r="B653" s="148" t="s">
        <v>8</v>
      </c>
      <c r="C653" s="4" t="s">
        <v>7</v>
      </c>
      <c r="D653" s="568" t="s">
        <v>503</v>
      </c>
      <c r="E653" s="220">
        <v>600</v>
      </c>
      <c r="F653" s="123">
        <f t="shared" si="186"/>
        <v>4942</v>
      </c>
      <c r="G653" s="227">
        <f t="shared" si="186"/>
        <v>4942</v>
      </c>
      <c r="H653" s="123">
        <f t="shared" si="186"/>
        <v>4942</v>
      </c>
      <c r="I653" s="227">
        <f t="shared" si="186"/>
        <v>4942</v>
      </c>
      <c r="J653" s="313">
        <f t="shared" si="186"/>
        <v>4760</v>
      </c>
      <c r="K653" s="511">
        <f t="shared" si="187"/>
        <v>0.96317280453257792</v>
      </c>
      <c r="L653" s="227">
        <f t="shared" si="186"/>
        <v>4760</v>
      </c>
      <c r="M653" s="511">
        <f t="shared" si="188"/>
        <v>0.96317280453257792</v>
      </c>
      <c r="N653" s="116"/>
      <c r="P653" s="116"/>
      <c r="Q653" s="116"/>
    </row>
    <row r="654" spans="1:17" s="106" customFormat="1" x14ac:dyDescent="0.25">
      <c r="A654" s="197" t="s">
        <v>62</v>
      </c>
      <c r="B654" s="148" t="s">
        <v>8</v>
      </c>
      <c r="C654" s="4" t="s">
        <v>7</v>
      </c>
      <c r="D654" s="568" t="s">
        <v>503</v>
      </c>
      <c r="E654" s="220">
        <v>610</v>
      </c>
      <c r="F654" s="123">
        <f>'ведом. 2024-2026'!AD734</f>
        <v>4942</v>
      </c>
      <c r="G654" s="227">
        <f>F654</f>
        <v>4942</v>
      </c>
      <c r="H654" s="123">
        <f>'ведом. 2024-2026'!AE734</f>
        <v>4942</v>
      </c>
      <c r="I654" s="227">
        <f>H654</f>
        <v>4942</v>
      </c>
      <c r="J654" s="313">
        <f>'ведом. 2024-2026'!AF734</f>
        <v>4760</v>
      </c>
      <c r="K654" s="511">
        <f t="shared" si="187"/>
        <v>0.96317280453257792</v>
      </c>
      <c r="L654" s="227">
        <f>J654</f>
        <v>4760</v>
      </c>
      <c r="M654" s="511">
        <f t="shared" si="188"/>
        <v>0.96317280453257792</v>
      </c>
      <c r="N654" s="116"/>
      <c r="P654" s="116"/>
      <c r="Q654" s="116"/>
    </row>
    <row r="655" spans="1:17" s="106" customFormat="1" ht="31.5" x14ac:dyDescent="0.25">
      <c r="A655" s="199" t="s">
        <v>509</v>
      </c>
      <c r="B655" s="153" t="s">
        <v>8</v>
      </c>
      <c r="C655" s="4" t="s">
        <v>7</v>
      </c>
      <c r="D655" s="568" t="s">
        <v>102</v>
      </c>
      <c r="E655" s="229"/>
      <c r="F655" s="123">
        <f>F656+F670</f>
        <v>76548.399999999994</v>
      </c>
      <c r="G655" s="123">
        <f>G656+G670</f>
        <v>2048</v>
      </c>
      <c r="H655" s="123">
        <f>H656+H670</f>
        <v>76548.399999999994</v>
      </c>
      <c r="I655" s="123">
        <f>I656+I670</f>
        <v>2048</v>
      </c>
      <c r="J655" s="313">
        <f>J656+J670</f>
        <v>76413.5</v>
      </c>
      <c r="K655" s="511">
        <f t="shared" si="187"/>
        <v>0.99823771626840019</v>
      </c>
      <c r="L655" s="313">
        <f t="shared" ref="L655" si="189">L656+L670</f>
        <v>2048</v>
      </c>
      <c r="M655" s="511">
        <f t="shared" si="188"/>
        <v>1</v>
      </c>
      <c r="N655" s="116"/>
      <c r="P655" s="116"/>
      <c r="Q655" s="116"/>
    </row>
    <row r="656" spans="1:17" s="106" customFormat="1" ht="31.5" x14ac:dyDescent="0.25">
      <c r="A656" s="199" t="s">
        <v>510</v>
      </c>
      <c r="B656" s="153" t="s">
        <v>8</v>
      </c>
      <c r="C656" s="4" t="s">
        <v>7</v>
      </c>
      <c r="D656" s="568" t="s">
        <v>511</v>
      </c>
      <c r="E656" s="229"/>
      <c r="F656" s="123">
        <f>F660+F657+F667</f>
        <v>48647.499999999993</v>
      </c>
      <c r="G656" s="123">
        <f>G660+G657+G667</f>
        <v>2048</v>
      </c>
      <c r="H656" s="123">
        <f>H660+H657+H667</f>
        <v>48647.499999999993</v>
      </c>
      <c r="I656" s="123">
        <f>I660+I657+I667</f>
        <v>2048</v>
      </c>
      <c r="J656" s="313">
        <f t="shared" ref="J656:L656" si="190">J660+J657+J667</f>
        <v>48512.6</v>
      </c>
      <c r="K656" s="511">
        <f t="shared" si="187"/>
        <v>0.99722699008171034</v>
      </c>
      <c r="L656" s="313">
        <f t="shared" si="190"/>
        <v>2048</v>
      </c>
      <c r="M656" s="511">
        <f t="shared" si="188"/>
        <v>1</v>
      </c>
      <c r="N656" s="116"/>
      <c r="P656" s="116"/>
      <c r="Q656" s="116"/>
    </row>
    <row r="657" spans="1:17" s="106" customFormat="1" ht="31.5" x14ac:dyDescent="0.25">
      <c r="A657" s="199" t="s">
        <v>722</v>
      </c>
      <c r="B657" s="2" t="s">
        <v>8</v>
      </c>
      <c r="C657" s="4" t="s">
        <v>7</v>
      </c>
      <c r="D657" s="211" t="s">
        <v>723</v>
      </c>
      <c r="E657" s="229"/>
      <c r="F657" s="123">
        <f>F658</f>
        <v>4500</v>
      </c>
      <c r="G657" s="123"/>
      <c r="H657" s="123">
        <f>H658</f>
        <v>4500</v>
      </c>
      <c r="I657" s="123"/>
      <c r="J657" s="313">
        <f t="shared" ref="J657:J658" si="191">J658</f>
        <v>4429.6000000000004</v>
      </c>
      <c r="K657" s="511">
        <f t="shared" si="187"/>
        <v>0.98435555555555565</v>
      </c>
      <c r="L657" s="227"/>
      <c r="M657" s="511"/>
      <c r="N657" s="116"/>
      <c r="P657" s="116"/>
      <c r="Q657" s="116"/>
    </row>
    <row r="658" spans="1:17" s="106" customFormat="1" ht="31.5" x14ac:dyDescent="0.25">
      <c r="A658" s="197" t="s">
        <v>61</v>
      </c>
      <c r="B658" s="2" t="s">
        <v>8</v>
      </c>
      <c r="C658" s="4" t="s">
        <v>7</v>
      </c>
      <c r="D658" s="211" t="s">
        <v>723</v>
      </c>
      <c r="E658" s="220">
        <v>600</v>
      </c>
      <c r="F658" s="123">
        <f>F659</f>
        <v>4500</v>
      </c>
      <c r="G658" s="123"/>
      <c r="H658" s="123">
        <f>H659</f>
        <v>4500</v>
      </c>
      <c r="I658" s="123"/>
      <c r="J658" s="313">
        <f t="shared" si="191"/>
        <v>4429.6000000000004</v>
      </c>
      <c r="K658" s="511">
        <f t="shared" si="187"/>
        <v>0.98435555555555565</v>
      </c>
      <c r="L658" s="227"/>
      <c r="M658" s="511"/>
      <c r="N658" s="116"/>
      <c r="P658" s="116"/>
      <c r="Q658" s="116"/>
    </row>
    <row r="659" spans="1:17" s="106" customFormat="1" x14ac:dyDescent="0.25">
      <c r="A659" s="197" t="s">
        <v>62</v>
      </c>
      <c r="B659" s="2" t="s">
        <v>8</v>
      </c>
      <c r="C659" s="4" t="s">
        <v>7</v>
      </c>
      <c r="D659" s="211" t="s">
        <v>723</v>
      </c>
      <c r="E659" s="220">
        <v>610</v>
      </c>
      <c r="F659" s="123">
        <f>'ведом. 2024-2026'!AD739</f>
        <v>4500</v>
      </c>
      <c r="G659" s="227"/>
      <c r="H659" s="123">
        <f>'ведом. 2024-2026'!AE739</f>
        <v>4500</v>
      </c>
      <c r="I659" s="227"/>
      <c r="J659" s="313">
        <f>'ведом. 2024-2026'!AF739</f>
        <v>4429.6000000000004</v>
      </c>
      <c r="K659" s="511">
        <f t="shared" si="187"/>
        <v>0.98435555555555565</v>
      </c>
      <c r="L659" s="227"/>
      <c r="M659" s="511"/>
      <c r="N659" s="116"/>
      <c r="P659" s="116"/>
      <c r="Q659" s="116"/>
    </row>
    <row r="660" spans="1:17" s="106" customFormat="1" ht="31.5" x14ac:dyDescent="0.25">
      <c r="A660" s="199" t="s">
        <v>277</v>
      </c>
      <c r="B660" s="153" t="s">
        <v>8</v>
      </c>
      <c r="C660" s="4" t="s">
        <v>7</v>
      </c>
      <c r="D660" s="568" t="s">
        <v>512</v>
      </c>
      <c r="E660" s="603"/>
      <c r="F660" s="123">
        <f>F661+F664</f>
        <v>42099.499999999993</v>
      </c>
      <c r="G660" s="123"/>
      <c r="H660" s="123">
        <f>H661+H664</f>
        <v>42099.499999999993</v>
      </c>
      <c r="I660" s="123"/>
      <c r="J660" s="313">
        <f>J661+J664</f>
        <v>42035</v>
      </c>
      <c r="K660" s="511">
        <f t="shared" si="187"/>
        <v>0.99846791529590628</v>
      </c>
      <c r="L660" s="227"/>
      <c r="M660" s="511"/>
      <c r="N660" s="116"/>
      <c r="P660" s="116"/>
      <c r="Q660" s="116"/>
    </row>
    <row r="661" spans="1:17" s="106" customFormat="1" ht="31.5" x14ac:dyDescent="0.25">
      <c r="A661" s="268" t="s">
        <v>343</v>
      </c>
      <c r="B661" s="153" t="s">
        <v>8</v>
      </c>
      <c r="C661" s="4" t="s">
        <v>7</v>
      </c>
      <c r="D661" s="568" t="s">
        <v>513</v>
      </c>
      <c r="E661" s="604"/>
      <c r="F661" s="123">
        <f>F663</f>
        <v>42009.499999999993</v>
      </c>
      <c r="G661" s="227"/>
      <c r="H661" s="123">
        <f>H663</f>
        <v>42009.499999999993</v>
      </c>
      <c r="I661" s="227"/>
      <c r="J661" s="313">
        <f>J663</f>
        <v>42009.5</v>
      </c>
      <c r="K661" s="511">
        <f t="shared" si="187"/>
        <v>1.0000000000000002</v>
      </c>
      <c r="L661" s="227"/>
      <c r="M661" s="511"/>
      <c r="N661" s="116"/>
      <c r="P661" s="116"/>
      <c r="Q661" s="116"/>
    </row>
    <row r="662" spans="1:17" s="106" customFormat="1" ht="31.5" x14ac:dyDescent="0.25">
      <c r="A662" s="268" t="s">
        <v>61</v>
      </c>
      <c r="B662" s="153" t="s">
        <v>8</v>
      </c>
      <c r="C662" s="4" t="s">
        <v>7</v>
      </c>
      <c r="D662" s="568" t="s">
        <v>513</v>
      </c>
      <c r="E662" s="220">
        <v>600</v>
      </c>
      <c r="F662" s="123">
        <f>F663</f>
        <v>42009.499999999993</v>
      </c>
      <c r="G662" s="227"/>
      <c r="H662" s="123">
        <f>H663</f>
        <v>42009.499999999993</v>
      </c>
      <c r="I662" s="227"/>
      <c r="J662" s="313">
        <f>J663</f>
        <v>42009.5</v>
      </c>
      <c r="K662" s="511">
        <f t="shared" si="187"/>
        <v>1.0000000000000002</v>
      </c>
      <c r="L662" s="227"/>
      <c r="M662" s="511"/>
      <c r="N662" s="116"/>
      <c r="P662" s="116"/>
      <c r="Q662" s="116"/>
    </row>
    <row r="663" spans="1:17" s="106" customFormat="1" x14ac:dyDescent="0.25">
      <c r="A663" s="268" t="s">
        <v>62</v>
      </c>
      <c r="B663" s="153" t="s">
        <v>8</v>
      </c>
      <c r="C663" s="4" t="s">
        <v>7</v>
      </c>
      <c r="D663" s="568" t="s">
        <v>513</v>
      </c>
      <c r="E663" s="220">
        <v>610</v>
      </c>
      <c r="F663" s="123">
        <f>'ведом. 2024-2026'!AD743</f>
        <v>42009.499999999993</v>
      </c>
      <c r="G663" s="227"/>
      <c r="H663" s="123">
        <f>'ведом. 2024-2026'!AE743</f>
        <v>42009.499999999993</v>
      </c>
      <c r="I663" s="227"/>
      <c r="J663" s="313">
        <f>'ведом. 2024-2026'!AF743</f>
        <v>42009.5</v>
      </c>
      <c r="K663" s="511">
        <f t="shared" si="187"/>
        <v>1.0000000000000002</v>
      </c>
      <c r="L663" s="227"/>
      <c r="M663" s="511"/>
      <c r="N663" s="116"/>
      <c r="P663" s="116"/>
      <c r="Q663" s="116"/>
    </row>
    <row r="664" spans="1:17" s="106" customFormat="1" ht="31.5" x14ac:dyDescent="0.25">
      <c r="A664" s="216" t="s">
        <v>761</v>
      </c>
      <c r="B664" s="2" t="s">
        <v>8</v>
      </c>
      <c r="C664" s="4" t="s">
        <v>7</v>
      </c>
      <c r="D664" s="568" t="s">
        <v>762</v>
      </c>
      <c r="E664" s="221"/>
      <c r="F664" s="123">
        <f>F665</f>
        <v>90</v>
      </c>
      <c r="G664" s="123"/>
      <c r="H664" s="123">
        <f>H665</f>
        <v>90</v>
      </c>
      <c r="I664" s="123"/>
      <c r="J664" s="313">
        <f t="shared" ref="J664" si="192">J665</f>
        <v>25.5</v>
      </c>
      <c r="K664" s="511">
        <f t="shared" si="187"/>
        <v>0.28333333333333333</v>
      </c>
      <c r="L664" s="227"/>
      <c r="M664" s="511"/>
      <c r="N664" s="116"/>
      <c r="P664" s="116"/>
      <c r="Q664" s="116"/>
    </row>
    <row r="665" spans="1:17" s="106" customFormat="1" ht="31.5" x14ac:dyDescent="0.25">
      <c r="A665" s="216" t="s">
        <v>61</v>
      </c>
      <c r="B665" s="2" t="s">
        <v>8</v>
      </c>
      <c r="C665" s="4" t="s">
        <v>7</v>
      </c>
      <c r="D665" s="568" t="s">
        <v>762</v>
      </c>
      <c r="E665" s="221">
        <v>600</v>
      </c>
      <c r="F665" s="444">
        <f>F666</f>
        <v>90</v>
      </c>
      <c r="G665" s="444"/>
      <c r="H665" s="444">
        <f>H666</f>
        <v>90</v>
      </c>
      <c r="I665" s="444"/>
      <c r="J665" s="444">
        <f t="shared" ref="J665" si="193">J666</f>
        <v>25.5</v>
      </c>
      <c r="K665" s="511">
        <f t="shared" si="187"/>
        <v>0.28333333333333333</v>
      </c>
      <c r="L665" s="509"/>
      <c r="M665" s="511"/>
      <c r="N665" s="116"/>
      <c r="P665" s="116"/>
      <c r="Q665" s="116"/>
    </row>
    <row r="666" spans="1:17" s="106" customFormat="1" x14ac:dyDescent="0.25">
      <c r="A666" s="216" t="s">
        <v>62</v>
      </c>
      <c r="B666" s="2" t="s">
        <v>8</v>
      </c>
      <c r="C666" s="4" t="s">
        <v>7</v>
      </c>
      <c r="D666" s="568" t="s">
        <v>762</v>
      </c>
      <c r="E666" s="221">
        <v>610</v>
      </c>
      <c r="F666" s="123">
        <f>'ведом. 2024-2026'!AD746</f>
        <v>90</v>
      </c>
      <c r="G666" s="227"/>
      <c r="H666" s="123">
        <f>'ведом. 2024-2026'!AE746</f>
        <v>90</v>
      </c>
      <c r="I666" s="227"/>
      <c r="J666" s="313">
        <f>'ведом. 2024-2026'!AF746</f>
        <v>25.5</v>
      </c>
      <c r="K666" s="511">
        <f t="shared" si="187"/>
        <v>0.28333333333333333</v>
      </c>
      <c r="L666" s="227"/>
      <c r="M666" s="511"/>
      <c r="N666" s="116"/>
      <c r="P666" s="116"/>
      <c r="Q666" s="116"/>
    </row>
    <row r="667" spans="1:17" s="106" customFormat="1" ht="31.5" x14ac:dyDescent="0.25">
      <c r="A667" s="216" t="s">
        <v>796</v>
      </c>
      <c r="B667" s="2" t="s">
        <v>8</v>
      </c>
      <c r="C667" s="4" t="s">
        <v>7</v>
      </c>
      <c r="D667" s="211" t="s">
        <v>814</v>
      </c>
      <c r="E667" s="221"/>
      <c r="F667" s="123">
        <f t="shared" ref="F667:I668" si="194">F668</f>
        <v>2048</v>
      </c>
      <c r="G667" s="123">
        <f t="shared" si="194"/>
        <v>2048</v>
      </c>
      <c r="H667" s="123">
        <f t="shared" si="194"/>
        <v>2048</v>
      </c>
      <c r="I667" s="123">
        <f t="shared" si="194"/>
        <v>2048</v>
      </c>
      <c r="J667" s="313">
        <f t="shared" ref="J667:J668" si="195">J668</f>
        <v>2048</v>
      </c>
      <c r="K667" s="511">
        <f t="shared" si="187"/>
        <v>1</v>
      </c>
      <c r="L667" s="227">
        <f>L668</f>
        <v>2048</v>
      </c>
      <c r="M667" s="511">
        <f t="shared" si="188"/>
        <v>1</v>
      </c>
      <c r="N667" s="116"/>
      <c r="P667" s="116"/>
      <c r="Q667" s="116"/>
    </row>
    <row r="668" spans="1:17" s="106" customFormat="1" ht="31.5" x14ac:dyDescent="0.25">
      <c r="A668" s="216" t="s">
        <v>61</v>
      </c>
      <c r="B668" s="2" t="s">
        <v>8</v>
      </c>
      <c r="C668" s="4" t="s">
        <v>7</v>
      </c>
      <c r="D668" s="211" t="s">
        <v>814</v>
      </c>
      <c r="E668" s="221">
        <v>600</v>
      </c>
      <c r="F668" s="123">
        <f t="shared" si="194"/>
        <v>2048</v>
      </c>
      <c r="G668" s="123">
        <f t="shared" si="194"/>
        <v>2048</v>
      </c>
      <c r="H668" s="123">
        <f t="shared" si="194"/>
        <v>2048</v>
      </c>
      <c r="I668" s="123">
        <f t="shared" si="194"/>
        <v>2048</v>
      </c>
      <c r="J668" s="313">
        <f t="shared" si="195"/>
        <v>2048</v>
      </c>
      <c r="K668" s="511">
        <f t="shared" si="187"/>
        <v>1</v>
      </c>
      <c r="L668" s="227">
        <f>L669</f>
        <v>2048</v>
      </c>
      <c r="M668" s="511">
        <f t="shared" si="188"/>
        <v>1</v>
      </c>
      <c r="N668" s="116"/>
      <c r="P668" s="116"/>
      <c r="Q668" s="116"/>
    </row>
    <row r="669" spans="1:17" s="106" customFormat="1" x14ac:dyDescent="0.25">
      <c r="A669" s="216" t="s">
        <v>62</v>
      </c>
      <c r="B669" s="2" t="s">
        <v>8</v>
      </c>
      <c r="C669" s="4" t="s">
        <v>7</v>
      </c>
      <c r="D669" s="211" t="s">
        <v>814</v>
      </c>
      <c r="E669" s="221">
        <v>610</v>
      </c>
      <c r="F669" s="123">
        <f>'ведом. 2024-2026'!AD749</f>
        <v>2048</v>
      </c>
      <c r="G669" s="227">
        <f>F669</f>
        <v>2048</v>
      </c>
      <c r="H669" s="123">
        <f>'ведом. 2024-2026'!AE749</f>
        <v>2048</v>
      </c>
      <c r="I669" s="227">
        <f>H669</f>
        <v>2048</v>
      </c>
      <c r="J669" s="313">
        <f>'ведом. 2024-2026'!AF749</f>
        <v>2048</v>
      </c>
      <c r="K669" s="511">
        <f t="shared" si="187"/>
        <v>1</v>
      </c>
      <c r="L669" s="227">
        <v>2048</v>
      </c>
      <c r="M669" s="511">
        <f t="shared" si="188"/>
        <v>1</v>
      </c>
      <c r="N669" s="116"/>
      <c r="P669" s="116"/>
      <c r="Q669" s="116"/>
    </row>
    <row r="670" spans="1:17" s="106" customFormat="1" ht="31.5" x14ac:dyDescent="0.25">
      <c r="A670" s="199" t="s">
        <v>514</v>
      </c>
      <c r="B670" s="153" t="s">
        <v>8</v>
      </c>
      <c r="C670" s="4" t="s">
        <v>7</v>
      </c>
      <c r="D670" s="568" t="s">
        <v>515</v>
      </c>
      <c r="E670" s="220"/>
      <c r="F670" s="123">
        <f>F671</f>
        <v>27900.899999999998</v>
      </c>
      <c r="G670" s="227"/>
      <c r="H670" s="123">
        <f>H671</f>
        <v>27900.899999999998</v>
      </c>
      <c r="I670" s="227"/>
      <c r="J670" s="313">
        <f>J671</f>
        <v>27900.9</v>
      </c>
      <c r="K670" s="511">
        <f t="shared" si="187"/>
        <v>1.0000000000000002</v>
      </c>
      <c r="L670" s="227"/>
      <c r="M670" s="511"/>
      <c r="N670" s="116"/>
      <c r="P670" s="116"/>
      <c r="Q670" s="116"/>
    </row>
    <row r="671" spans="1:17" s="106" customFormat="1" ht="31.5" x14ac:dyDescent="0.25">
      <c r="A671" s="200" t="s">
        <v>157</v>
      </c>
      <c r="B671" s="153" t="s">
        <v>8</v>
      </c>
      <c r="C671" s="4" t="s">
        <v>7</v>
      </c>
      <c r="D671" s="568" t="s">
        <v>516</v>
      </c>
      <c r="E671" s="220"/>
      <c r="F671" s="123">
        <f>F672</f>
        <v>27900.899999999998</v>
      </c>
      <c r="G671" s="123"/>
      <c r="H671" s="123">
        <f t="shared" ref="H671:J671" si="196">H672</f>
        <v>27900.899999999998</v>
      </c>
      <c r="I671" s="123"/>
      <c r="J671" s="313">
        <f t="shared" si="196"/>
        <v>27900.9</v>
      </c>
      <c r="K671" s="511">
        <f t="shared" si="187"/>
        <v>1.0000000000000002</v>
      </c>
      <c r="L671" s="227"/>
      <c r="M671" s="511"/>
      <c r="N671" s="116"/>
      <c r="P671" s="116"/>
      <c r="Q671" s="116"/>
    </row>
    <row r="672" spans="1:17" s="106" customFormat="1" ht="31.5" x14ac:dyDescent="0.25">
      <c r="A672" s="268" t="s">
        <v>61</v>
      </c>
      <c r="B672" s="153" t="s">
        <v>8</v>
      </c>
      <c r="C672" s="4" t="s">
        <v>7</v>
      </c>
      <c r="D672" s="568" t="s">
        <v>516</v>
      </c>
      <c r="E672" s="220">
        <v>600</v>
      </c>
      <c r="F672" s="123">
        <f>F673</f>
        <v>27900.899999999998</v>
      </c>
      <c r="G672" s="123"/>
      <c r="H672" s="123">
        <f t="shared" ref="H672:J672" si="197">H673</f>
        <v>27900.899999999998</v>
      </c>
      <c r="I672" s="123"/>
      <c r="J672" s="313">
        <f t="shared" si="197"/>
        <v>27900.9</v>
      </c>
      <c r="K672" s="511">
        <f t="shared" si="187"/>
        <v>1.0000000000000002</v>
      </c>
      <c r="L672" s="227"/>
      <c r="M672" s="511"/>
      <c r="N672" s="116"/>
      <c r="P672" s="116"/>
      <c r="Q672" s="116"/>
    </row>
    <row r="673" spans="1:17" s="106" customFormat="1" x14ac:dyDescent="0.25">
      <c r="A673" s="268" t="s">
        <v>62</v>
      </c>
      <c r="B673" s="153" t="s">
        <v>8</v>
      </c>
      <c r="C673" s="4" t="s">
        <v>7</v>
      </c>
      <c r="D673" s="568" t="s">
        <v>516</v>
      </c>
      <c r="E673" s="220">
        <v>610</v>
      </c>
      <c r="F673" s="123">
        <f>'ведом. 2024-2026'!AD753</f>
        <v>27900.899999999998</v>
      </c>
      <c r="G673" s="227"/>
      <c r="H673" s="123">
        <f>'ведом. 2024-2026'!AE753</f>
        <v>27900.899999999998</v>
      </c>
      <c r="I673" s="227"/>
      <c r="J673" s="313">
        <f>'ведом. 2024-2026'!AF753</f>
        <v>27900.9</v>
      </c>
      <c r="K673" s="511">
        <f t="shared" si="187"/>
        <v>1.0000000000000002</v>
      </c>
      <c r="L673" s="227"/>
      <c r="M673" s="511"/>
      <c r="N673" s="116"/>
      <c r="P673" s="116"/>
      <c r="Q673" s="116"/>
    </row>
    <row r="674" spans="1:17" s="106" customFormat="1" ht="31.5" x14ac:dyDescent="0.25">
      <c r="A674" s="202" t="s">
        <v>163</v>
      </c>
      <c r="B674" s="2" t="s">
        <v>8</v>
      </c>
      <c r="C674" s="4" t="s">
        <v>7</v>
      </c>
      <c r="D674" s="459" t="s">
        <v>103</v>
      </c>
      <c r="E674" s="220"/>
      <c r="F674" s="123">
        <f>F675</f>
        <v>4400</v>
      </c>
      <c r="G674" s="123"/>
      <c r="H674" s="123">
        <f>H675</f>
        <v>4400</v>
      </c>
      <c r="I674" s="123"/>
      <c r="J674" s="313">
        <f t="shared" ref="J674:J678" si="198">J675</f>
        <v>4279.8</v>
      </c>
      <c r="K674" s="511">
        <f t="shared" si="187"/>
        <v>0.9726818181818182</v>
      </c>
      <c r="L674" s="227"/>
      <c r="M674" s="511"/>
      <c r="N674" s="116"/>
      <c r="P674" s="116"/>
      <c r="Q674" s="116"/>
    </row>
    <row r="675" spans="1:17" s="106" customFormat="1" ht="31.5" x14ac:dyDescent="0.25">
      <c r="A675" s="199" t="s">
        <v>375</v>
      </c>
      <c r="B675" s="2" t="s">
        <v>8</v>
      </c>
      <c r="C675" s="4" t="s">
        <v>7</v>
      </c>
      <c r="D675" s="568" t="s">
        <v>105</v>
      </c>
      <c r="E675" s="220"/>
      <c r="F675" s="123">
        <f>F676</f>
        <v>4400</v>
      </c>
      <c r="G675" s="123"/>
      <c r="H675" s="123">
        <f>H676</f>
        <v>4400</v>
      </c>
      <c r="I675" s="123"/>
      <c r="J675" s="313">
        <f t="shared" si="198"/>
        <v>4279.8</v>
      </c>
      <c r="K675" s="511">
        <f t="shared" si="187"/>
        <v>0.9726818181818182</v>
      </c>
      <c r="L675" s="227"/>
      <c r="M675" s="511"/>
      <c r="N675" s="116"/>
      <c r="P675" s="116"/>
      <c r="Q675" s="116"/>
    </row>
    <row r="676" spans="1:17" s="106" customFormat="1" ht="31.5" x14ac:dyDescent="0.25">
      <c r="A676" s="218" t="s">
        <v>607</v>
      </c>
      <c r="B676" s="2" t="s">
        <v>8</v>
      </c>
      <c r="C676" s="4" t="s">
        <v>7</v>
      </c>
      <c r="D676" s="568" t="s">
        <v>125</v>
      </c>
      <c r="E676" s="223"/>
      <c r="F676" s="123">
        <f>F677</f>
        <v>4400</v>
      </c>
      <c r="G676" s="123"/>
      <c r="H676" s="123">
        <f>H677</f>
        <v>4400</v>
      </c>
      <c r="I676" s="123"/>
      <c r="J676" s="313">
        <f t="shared" si="198"/>
        <v>4279.8</v>
      </c>
      <c r="K676" s="511">
        <f t="shared" si="187"/>
        <v>0.9726818181818182</v>
      </c>
      <c r="L676" s="227"/>
      <c r="M676" s="511"/>
      <c r="N676" s="116"/>
      <c r="P676" s="116"/>
      <c r="Q676" s="116"/>
    </row>
    <row r="677" spans="1:17" s="106" customFormat="1" x14ac:dyDescent="0.25">
      <c r="A677" s="216" t="s">
        <v>173</v>
      </c>
      <c r="B677" s="2" t="s">
        <v>8</v>
      </c>
      <c r="C677" s="4" t="s">
        <v>7</v>
      </c>
      <c r="D677" s="568" t="s">
        <v>174</v>
      </c>
      <c r="E677" s="220"/>
      <c r="F677" s="123">
        <f>F678</f>
        <v>4400</v>
      </c>
      <c r="G677" s="123"/>
      <c r="H677" s="123">
        <f>H678</f>
        <v>4400</v>
      </c>
      <c r="I677" s="123"/>
      <c r="J677" s="313">
        <f t="shared" si="198"/>
        <v>4279.8</v>
      </c>
      <c r="K677" s="511">
        <f t="shared" si="187"/>
        <v>0.9726818181818182</v>
      </c>
      <c r="L677" s="227"/>
      <c r="M677" s="511"/>
      <c r="N677" s="116"/>
      <c r="P677" s="116"/>
      <c r="Q677" s="116"/>
    </row>
    <row r="678" spans="1:17" s="106" customFormat="1" ht="31.5" x14ac:dyDescent="0.25">
      <c r="A678" s="197" t="s">
        <v>61</v>
      </c>
      <c r="B678" s="2" t="s">
        <v>8</v>
      </c>
      <c r="C678" s="4" t="s">
        <v>7</v>
      </c>
      <c r="D678" s="568" t="s">
        <v>174</v>
      </c>
      <c r="E678" s="220">
        <v>600</v>
      </c>
      <c r="F678" s="123">
        <f>F679</f>
        <v>4400</v>
      </c>
      <c r="G678" s="123"/>
      <c r="H678" s="123">
        <f>H679</f>
        <v>4400</v>
      </c>
      <c r="I678" s="123"/>
      <c r="J678" s="313">
        <f t="shared" si="198"/>
        <v>4279.8</v>
      </c>
      <c r="K678" s="511">
        <f t="shared" si="187"/>
        <v>0.9726818181818182</v>
      </c>
      <c r="L678" s="227"/>
      <c r="M678" s="511"/>
      <c r="N678" s="116"/>
      <c r="P678" s="116"/>
      <c r="Q678" s="116"/>
    </row>
    <row r="679" spans="1:17" s="106" customFormat="1" x14ac:dyDescent="0.25">
      <c r="A679" s="197" t="s">
        <v>62</v>
      </c>
      <c r="B679" s="2" t="s">
        <v>8</v>
      </c>
      <c r="C679" s="4" t="s">
        <v>7</v>
      </c>
      <c r="D679" s="568" t="s">
        <v>174</v>
      </c>
      <c r="E679" s="220">
        <v>610</v>
      </c>
      <c r="F679" s="123">
        <f>'ведом. 2024-2026'!AD759</f>
        <v>4400</v>
      </c>
      <c r="G679" s="227"/>
      <c r="H679" s="123">
        <f>'ведом. 2024-2026'!AE759</f>
        <v>4400</v>
      </c>
      <c r="I679" s="227"/>
      <c r="J679" s="313">
        <f>'ведом. 2024-2026'!AF759</f>
        <v>4279.8</v>
      </c>
      <c r="K679" s="511">
        <f t="shared" si="187"/>
        <v>0.9726818181818182</v>
      </c>
      <c r="L679" s="227"/>
      <c r="M679" s="511"/>
      <c r="N679" s="116"/>
      <c r="P679" s="116"/>
      <c r="Q679" s="116"/>
    </row>
    <row r="680" spans="1:17" s="106" customFormat="1" x14ac:dyDescent="0.25">
      <c r="A680" s="268" t="s">
        <v>136</v>
      </c>
      <c r="B680" s="148" t="s">
        <v>8</v>
      </c>
      <c r="C680" s="4" t="s">
        <v>8</v>
      </c>
      <c r="D680" s="458"/>
      <c r="E680" s="221"/>
      <c r="F680" s="123">
        <f>F681+F687</f>
        <v>2034.9</v>
      </c>
      <c r="G680" s="123"/>
      <c r="H680" s="123">
        <f>H681+H687</f>
        <v>2034.9</v>
      </c>
      <c r="I680" s="123"/>
      <c r="J680" s="313">
        <f>J681+J687</f>
        <v>2034.3999999999999</v>
      </c>
      <c r="K680" s="511">
        <f t="shared" si="187"/>
        <v>0.9997542876799842</v>
      </c>
      <c r="L680" s="227"/>
      <c r="M680" s="511"/>
      <c r="N680" s="116"/>
      <c r="P680" s="116"/>
      <c r="Q680" s="116"/>
    </row>
    <row r="681" spans="1:17" s="106" customFormat="1" ht="31.5" x14ac:dyDescent="0.25">
      <c r="A681" s="199" t="s">
        <v>163</v>
      </c>
      <c r="B681" s="148" t="s">
        <v>8</v>
      </c>
      <c r="C681" s="4" t="s">
        <v>8</v>
      </c>
      <c r="D681" s="458" t="s">
        <v>103</v>
      </c>
      <c r="E681" s="221"/>
      <c r="F681" s="123">
        <f>F682</f>
        <v>288</v>
      </c>
      <c r="G681" s="227"/>
      <c r="H681" s="123">
        <f>H682</f>
        <v>288</v>
      </c>
      <c r="I681" s="227"/>
      <c r="J681" s="313">
        <f>J682</f>
        <v>288</v>
      </c>
      <c r="K681" s="511">
        <f t="shared" si="187"/>
        <v>1</v>
      </c>
      <c r="L681" s="227"/>
      <c r="M681" s="511"/>
      <c r="N681" s="116"/>
      <c r="P681" s="116"/>
      <c r="Q681" s="116"/>
    </row>
    <row r="682" spans="1:17" s="106" customFormat="1" x14ac:dyDescent="0.25">
      <c r="A682" s="202" t="s">
        <v>164</v>
      </c>
      <c r="B682" s="148" t="s">
        <v>8</v>
      </c>
      <c r="C682" s="4" t="s">
        <v>8</v>
      </c>
      <c r="D682" s="458" t="s">
        <v>107</v>
      </c>
      <c r="E682" s="221"/>
      <c r="F682" s="123">
        <f>F683</f>
        <v>288</v>
      </c>
      <c r="G682" s="227"/>
      <c r="H682" s="123">
        <f>H683</f>
        <v>288</v>
      </c>
      <c r="I682" s="227"/>
      <c r="J682" s="313">
        <f>J683</f>
        <v>288</v>
      </c>
      <c r="K682" s="511">
        <f t="shared" si="187"/>
        <v>1</v>
      </c>
      <c r="L682" s="227"/>
      <c r="M682" s="511"/>
      <c r="N682" s="116"/>
      <c r="P682" s="116"/>
      <c r="Q682" s="116"/>
    </row>
    <row r="683" spans="1:17" s="106" customFormat="1" ht="31.5" x14ac:dyDescent="0.25">
      <c r="A683" s="218" t="s">
        <v>565</v>
      </c>
      <c r="B683" s="148" t="s">
        <v>8</v>
      </c>
      <c r="C683" s="4" t="s">
        <v>8</v>
      </c>
      <c r="D683" s="568" t="s">
        <v>165</v>
      </c>
      <c r="E683" s="221"/>
      <c r="F683" s="123">
        <f>F684</f>
        <v>288</v>
      </c>
      <c r="G683" s="227"/>
      <c r="H683" s="123">
        <f>H684</f>
        <v>288</v>
      </c>
      <c r="I683" s="227"/>
      <c r="J683" s="313">
        <f>J684</f>
        <v>288</v>
      </c>
      <c r="K683" s="511">
        <f t="shared" si="187"/>
        <v>1</v>
      </c>
      <c r="L683" s="227"/>
      <c r="M683" s="511"/>
      <c r="N683" s="116"/>
      <c r="P683" s="116"/>
      <c r="Q683" s="116"/>
    </row>
    <row r="684" spans="1:17" s="106" customFormat="1" ht="31.5" x14ac:dyDescent="0.25">
      <c r="A684" s="202" t="s">
        <v>645</v>
      </c>
      <c r="B684" s="148" t="s">
        <v>8</v>
      </c>
      <c r="C684" s="4" t="s">
        <v>8</v>
      </c>
      <c r="D684" s="211" t="s">
        <v>646</v>
      </c>
      <c r="E684" s="221"/>
      <c r="F684" s="123">
        <f>F685</f>
        <v>288</v>
      </c>
      <c r="G684" s="227"/>
      <c r="H684" s="123">
        <f>H685</f>
        <v>288</v>
      </c>
      <c r="I684" s="227"/>
      <c r="J684" s="313">
        <f>J685</f>
        <v>288</v>
      </c>
      <c r="K684" s="511">
        <f t="shared" si="187"/>
        <v>1</v>
      </c>
      <c r="L684" s="227"/>
      <c r="M684" s="511"/>
      <c r="N684" s="116"/>
      <c r="P684" s="116"/>
      <c r="Q684" s="116"/>
    </row>
    <row r="685" spans="1:17" s="106" customFormat="1" x14ac:dyDescent="0.25">
      <c r="A685" s="197" t="s">
        <v>121</v>
      </c>
      <c r="B685" s="148" t="s">
        <v>8</v>
      </c>
      <c r="C685" s="4" t="s">
        <v>8</v>
      </c>
      <c r="D685" s="211" t="s">
        <v>646</v>
      </c>
      <c r="E685" s="220">
        <v>200</v>
      </c>
      <c r="F685" s="123">
        <f>F686</f>
        <v>288</v>
      </c>
      <c r="G685" s="227"/>
      <c r="H685" s="123">
        <f>H686</f>
        <v>288</v>
      </c>
      <c r="I685" s="227"/>
      <c r="J685" s="313">
        <f>J686</f>
        <v>288</v>
      </c>
      <c r="K685" s="511">
        <f t="shared" si="187"/>
        <v>1</v>
      </c>
      <c r="L685" s="227"/>
      <c r="M685" s="511"/>
      <c r="N685" s="116"/>
      <c r="P685" s="116"/>
      <c r="Q685" s="116"/>
    </row>
    <row r="686" spans="1:17" s="106" customFormat="1" ht="31.5" x14ac:dyDescent="0.25">
      <c r="A686" s="197" t="s">
        <v>52</v>
      </c>
      <c r="B686" s="148" t="s">
        <v>8</v>
      </c>
      <c r="C686" s="4" t="s">
        <v>8</v>
      </c>
      <c r="D686" s="211" t="s">
        <v>646</v>
      </c>
      <c r="E686" s="220">
        <v>240</v>
      </c>
      <c r="F686" s="123">
        <f>'ведом. 2024-2026'!AD336</f>
        <v>288</v>
      </c>
      <c r="G686" s="227"/>
      <c r="H686" s="123">
        <f>'ведом. 2024-2026'!AE336</f>
        <v>288</v>
      </c>
      <c r="I686" s="227"/>
      <c r="J686" s="313">
        <f>'ведом. 2024-2026'!AF336</f>
        <v>288</v>
      </c>
      <c r="K686" s="511">
        <f t="shared" si="187"/>
        <v>1</v>
      </c>
      <c r="L686" s="227"/>
      <c r="M686" s="511"/>
      <c r="N686" s="116"/>
      <c r="P686" s="116"/>
      <c r="Q686" s="116"/>
    </row>
    <row r="687" spans="1:17" s="106" customFormat="1" ht="31.5" x14ac:dyDescent="0.25">
      <c r="A687" s="199" t="s">
        <v>306</v>
      </c>
      <c r="B687" s="148" t="s">
        <v>8</v>
      </c>
      <c r="C687" s="4" t="s">
        <v>8</v>
      </c>
      <c r="D687" s="568" t="s">
        <v>132</v>
      </c>
      <c r="E687" s="220"/>
      <c r="F687" s="123">
        <f>F688</f>
        <v>1746.9</v>
      </c>
      <c r="G687" s="227"/>
      <c r="H687" s="123">
        <f>H688</f>
        <v>1746.9</v>
      </c>
      <c r="I687" s="227"/>
      <c r="J687" s="313">
        <f>J688</f>
        <v>1746.3999999999999</v>
      </c>
      <c r="K687" s="511">
        <f t="shared" si="187"/>
        <v>0.99971377869368583</v>
      </c>
      <c r="L687" s="227"/>
      <c r="M687" s="511"/>
      <c r="N687" s="116"/>
      <c r="P687" s="116"/>
      <c r="Q687" s="116"/>
    </row>
    <row r="688" spans="1:17" s="106" customFormat="1" x14ac:dyDescent="0.25">
      <c r="A688" s="199" t="s">
        <v>315</v>
      </c>
      <c r="B688" s="11" t="s">
        <v>8</v>
      </c>
      <c r="C688" s="146" t="s">
        <v>8</v>
      </c>
      <c r="D688" s="568" t="s">
        <v>316</v>
      </c>
      <c r="E688" s="220"/>
      <c r="F688" s="123">
        <f>F689+F695</f>
        <v>1746.9</v>
      </c>
      <c r="G688" s="123"/>
      <c r="H688" s="123">
        <f>H689+H695</f>
        <v>1746.9</v>
      </c>
      <c r="I688" s="123"/>
      <c r="J688" s="313">
        <f>J689+J695</f>
        <v>1746.3999999999999</v>
      </c>
      <c r="K688" s="511">
        <f t="shared" si="187"/>
        <v>0.99971377869368583</v>
      </c>
      <c r="L688" s="227"/>
      <c r="M688" s="511"/>
      <c r="N688" s="116"/>
      <c r="P688" s="116"/>
      <c r="Q688" s="116"/>
    </row>
    <row r="689" spans="1:17" s="106" customFormat="1" x14ac:dyDescent="0.25">
      <c r="A689" s="215" t="s">
        <v>551</v>
      </c>
      <c r="B689" s="11" t="s">
        <v>8</v>
      </c>
      <c r="C689" s="146" t="s">
        <v>8</v>
      </c>
      <c r="D689" s="568" t="s">
        <v>317</v>
      </c>
      <c r="E689" s="220"/>
      <c r="F689" s="123">
        <f>F690</f>
        <v>708.2</v>
      </c>
      <c r="G689" s="123"/>
      <c r="H689" s="123">
        <f>H690</f>
        <v>708.2</v>
      </c>
      <c r="I689" s="123"/>
      <c r="J689" s="313">
        <f>J690</f>
        <v>707.8</v>
      </c>
      <c r="K689" s="511">
        <f t="shared" si="187"/>
        <v>0.99943518780005636</v>
      </c>
      <c r="L689" s="227"/>
      <c r="M689" s="511"/>
      <c r="N689" s="116"/>
      <c r="P689" s="116"/>
      <c r="Q689" s="116"/>
    </row>
    <row r="690" spans="1:17" s="106" customFormat="1" ht="31.5" x14ac:dyDescent="0.25">
      <c r="A690" s="200" t="s">
        <v>318</v>
      </c>
      <c r="B690" s="148" t="s">
        <v>8</v>
      </c>
      <c r="C690" s="4" t="s">
        <v>8</v>
      </c>
      <c r="D690" s="568" t="s">
        <v>319</v>
      </c>
      <c r="E690" s="220"/>
      <c r="F690" s="123">
        <f>F691+F693</f>
        <v>708.2</v>
      </c>
      <c r="G690" s="123"/>
      <c r="H690" s="123">
        <f>H691+H693</f>
        <v>708.2</v>
      </c>
      <c r="I690" s="123"/>
      <c r="J690" s="313">
        <f>J691+J693</f>
        <v>707.8</v>
      </c>
      <c r="K690" s="511">
        <f t="shared" si="187"/>
        <v>0.99943518780005636</v>
      </c>
      <c r="L690" s="227"/>
      <c r="M690" s="511"/>
      <c r="N690" s="116"/>
      <c r="P690" s="116"/>
      <c r="Q690" s="116"/>
    </row>
    <row r="691" spans="1:17" s="106" customFormat="1" x14ac:dyDescent="0.25">
      <c r="A691" s="197" t="s">
        <v>121</v>
      </c>
      <c r="B691" s="11" t="s">
        <v>8</v>
      </c>
      <c r="C691" s="146" t="s">
        <v>8</v>
      </c>
      <c r="D691" s="568" t="s">
        <v>319</v>
      </c>
      <c r="E691" s="220">
        <v>200</v>
      </c>
      <c r="F691" s="123">
        <f>F692</f>
        <v>350</v>
      </c>
      <c r="G691" s="246"/>
      <c r="H691" s="123">
        <f>H692</f>
        <v>350</v>
      </c>
      <c r="I691" s="246"/>
      <c r="J691" s="313">
        <f>J692</f>
        <v>349.6</v>
      </c>
      <c r="K691" s="511">
        <f t="shared" si="187"/>
        <v>0.99885714285714289</v>
      </c>
      <c r="L691" s="246"/>
      <c r="M691" s="511"/>
      <c r="N691" s="116"/>
      <c r="P691" s="116"/>
      <c r="Q691" s="116"/>
    </row>
    <row r="692" spans="1:17" s="106" customFormat="1" ht="31.5" x14ac:dyDescent="0.25">
      <c r="A692" s="197" t="s">
        <v>52</v>
      </c>
      <c r="B692" s="11" t="s">
        <v>8</v>
      </c>
      <c r="C692" s="146" t="s">
        <v>8</v>
      </c>
      <c r="D692" s="568" t="s">
        <v>319</v>
      </c>
      <c r="E692" s="220">
        <v>240</v>
      </c>
      <c r="F692" s="123">
        <f>'ведом. 2024-2026'!AD342</f>
        <v>350</v>
      </c>
      <c r="G692" s="227"/>
      <c r="H692" s="123">
        <f>'ведом. 2024-2026'!AE342</f>
        <v>350</v>
      </c>
      <c r="I692" s="227"/>
      <c r="J692" s="313">
        <f>'ведом. 2024-2026'!AF342</f>
        <v>349.6</v>
      </c>
      <c r="K692" s="511">
        <f t="shared" si="187"/>
        <v>0.99885714285714289</v>
      </c>
      <c r="L692" s="227"/>
      <c r="M692" s="511"/>
      <c r="N692" s="116"/>
      <c r="P692" s="116"/>
      <c r="Q692" s="116"/>
    </row>
    <row r="693" spans="1:17" s="106" customFormat="1" ht="31.5" x14ac:dyDescent="0.25">
      <c r="A693" s="268" t="s">
        <v>61</v>
      </c>
      <c r="B693" s="11" t="s">
        <v>8</v>
      </c>
      <c r="C693" s="146" t="s">
        <v>8</v>
      </c>
      <c r="D693" s="568" t="s">
        <v>319</v>
      </c>
      <c r="E693" s="220">
        <v>600</v>
      </c>
      <c r="F693" s="123">
        <f>F694</f>
        <v>358.2</v>
      </c>
      <c r="G693" s="123"/>
      <c r="H693" s="123">
        <f>H694</f>
        <v>358.2</v>
      </c>
      <c r="I693" s="123"/>
      <c r="J693" s="313">
        <f>J694</f>
        <v>358.2</v>
      </c>
      <c r="K693" s="511">
        <f t="shared" si="187"/>
        <v>1</v>
      </c>
      <c r="L693" s="227"/>
      <c r="M693" s="511"/>
      <c r="N693" s="116"/>
      <c r="P693" s="116"/>
      <c r="Q693" s="116"/>
    </row>
    <row r="694" spans="1:17" s="106" customFormat="1" x14ac:dyDescent="0.25">
      <c r="A694" s="268" t="s">
        <v>62</v>
      </c>
      <c r="B694" s="11" t="s">
        <v>8</v>
      </c>
      <c r="C694" s="146" t="s">
        <v>8</v>
      </c>
      <c r="D694" s="568" t="s">
        <v>319</v>
      </c>
      <c r="E694" s="220">
        <v>610</v>
      </c>
      <c r="F694" s="123">
        <f>'ведом. 2024-2026'!AD344</f>
        <v>358.2</v>
      </c>
      <c r="G694" s="227"/>
      <c r="H694" s="123">
        <f>'ведом. 2024-2026'!AE344</f>
        <v>358.2</v>
      </c>
      <c r="I694" s="227"/>
      <c r="J694" s="313">
        <f>'ведом. 2024-2026'!AF344</f>
        <v>358.2</v>
      </c>
      <c r="K694" s="511">
        <f t="shared" si="187"/>
        <v>1</v>
      </c>
      <c r="L694" s="227"/>
      <c r="M694" s="511"/>
      <c r="N694" s="116"/>
      <c r="P694" s="116"/>
      <c r="Q694" s="116"/>
    </row>
    <row r="695" spans="1:17" s="106" customFormat="1" ht="63" x14ac:dyDescent="0.25">
      <c r="A695" s="269" t="s">
        <v>618</v>
      </c>
      <c r="B695" s="11" t="s">
        <v>8</v>
      </c>
      <c r="C695" s="146" t="s">
        <v>8</v>
      </c>
      <c r="D695" s="582" t="s">
        <v>620</v>
      </c>
      <c r="E695" s="220"/>
      <c r="F695" s="123">
        <f>F696</f>
        <v>1038.7</v>
      </c>
      <c r="G695" s="227"/>
      <c r="H695" s="123">
        <f>H696</f>
        <v>1038.7</v>
      </c>
      <c r="I695" s="227"/>
      <c r="J695" s="313">
        <f>J696</f>
        <v>1038.5999999999999</v>
      </c>
      <c r="K695" s="511">
        <f t="shared" si="187"/>
        <v>0.99990372581110987</v>
      </c>
      <c r="L695" s="227"/>
      <c r="M695" s="511"/>
      <c r="N695" s="116"/>
      <c r="P695" s="116"/>
      <c r="Q695" s="116"/>
    </row>
    <row r="696" spans="1:17" s="106" customFormat="1" ht="31.5" x14ac:dyDescent="0.25">
      <c r="A696" s="269" t="s">
        <v>619</v>
      </c>
      <c r="B696" s="11" t="s">
        <v>8</v>
      </c>
      <c r="C696" s="146" t="s">
        <v>8</v>
      </c>
      <c r="D696" s="582" t="s">
        <v>621</v>
      </c>
      <c r="E696" s="220"/>
      <c r="F696" s="123">
        <f>F697</f>
        <v>1038.7</v>
      </c>
      <c r="G696" s="227"/>
      <c r="H696" s="123">
        <f>H697</f>
        <v>1038.7</v>
      </c>
      <c r="I696" s="227"/>
      <c r="J696" s="313">
        <f>J697</f>
        <v>1038.5999999999999</v>
      </c>
      <c r="K696" s="511">
        <f t="shared" si="187"/>
        <v>0.99990372581110987</v>
      </c>
      <c r="L696" s="227"/>
      <c r="M696" s="511"/>
      <c r="N696" s="116"/>
      <c r="P696" s="116"/>
      <c r="Q696" s="116"/>
    </row>
    <row r="697" spans="1:17" s="106" customFormat="1" ht="31.5" x14ac:dyDescent="0.25">
      <c r="A697" s="268" t="s">
        <v>61</v>
      </c>
      <c r="B697" s="11" t="s">
        <v>8</v>
      </c>
      <c r="C697" s="146" t="s">
        <v>8</v>
      </c>
      <c r="D697" s="582" t="s">
        <v>621</v>
      </c>
      <c r="E697" s="220">
        <v>600</v>
      </c>
      <c r="F697" s="123">
        <f>F698</f>
        <v>1038.7</v>
      </c>
      <c r="G697" s="227"/>
      <c r="H697" s="123">
        <f>H698</f>
        <v>1038.7</v>
      </c>
      <c r="I697" s="227"/>
      <c r="J697" s="313">
        <f>J698</f>
        <v>1038.5999999999999</v>
      </c>
      <c r="K697" s="511">
        <f t="shared" si="187"/>
        <v>0.99990372581110987</v>
      </c>
      <c r="L697" s="227"/>
      <c r="M697" s="511"/>
      <c r="N697" s="116"/>
      <c r="P697" s="116"/>
      <c r="Q697" s="116"/>
    </row>
    <row r="698" spans="1:17" s="106" customFormat="1" x14ac:dyDescent="0.25">
      <c r="A698" s="268" t="s">
        <v>62</v>
      </c>
      <c r="B698" s="11" t="s">
        <v>8</v>
      </c>
      <c r="C698" s="146" t="s">
        <v>8</v>
      </c>
      <c r="D698" s="582" t="s">
        <v>621</v>
      </c>
      <c r="E698" s="220">
        <v>610</v>
      </c>
      <c r="F698" s="123">
        <f>'ведом. 2024-2026'!AD766</f>
        <v>1038.7</v>
      </c>
      <c r="G698" s="227"/>
      <c r="H698" s="123">
        <f>'ведом. 2024-2026'!AE766</f>
        <v>1038.7</v>
      </c>
      <c r="I698" s="227"/>
      <c r="J698" s="313">
        <f>'ведом. 2024-2026'!AF766</f>
        <v>1038.5999999999999</v>
      </c>
      <c r="K698" s="511">
        <f t="shared" si="187"/>
        <v>0.99990372581110987</v>
      </c>
      <c r="L698" s="227"/>
      <c r="M698" s="511"/>
      <c r="N698" s="116"/>
      <c r="P698" s="116"/>
      <c r="Q698" s="116"/>
    </row>
    <row r="699" spans="1:17" s="106" customFormat="1" x14ac:dyDescent="0.25">
      <c r="A699" s="268" t="s">
        <v>38</v>
      </c>
      <c r="B699" s="148" t="s">
        <v>8</v>
      </c>
      <c r="C699" s="4" t="s">
        <v>22</v>
      </c>
      <c r="D699" s="458"/>
      <c r="E699" s="220"/>
      <c r="F699" s="123">
        <f>F700+F715</f>
        <v>33937.799999999996</v>
      </c>
      <c r="G699" s="123">
        <f t="shared" ref="G699:L699" si="199">G700+G715</f>
        <v>3285</v>
      </c>
      <c r="H699" s="123">
        <f t="shared" si="199"/>
        <v>33937.799999999996</v>
      </c>
      <c r="I699" s="123">
        <f t="shared" si="199"/>
        <v>3285</v>
      </c>
      <c r="J699" s="313">
        <f t="shared" si="199"/>
        <v>33430.699999999997</v>
      </c>
      <c r="K699" s="511">
        <f t="shared" si="187"/>
        <v>0.98505795897200177</v>
      </c>
      <c r="L699" s="227">
        <f t="shared" si="199"/>
        <v>3217</v>
      </c>
      <c r="M699" s="511">
        <f t="shared" si="188"/>
        <v>0.9792998477929985</v>
      </c>
      <c r="N699" s="116"/>
      <c r="P699" s="116"/>
      <c r="Q699" s="116"/>
    </row>
    <row r="700" spans="1:17" s="106" customFormat="1" x14ac:dyDescent="0.25">
      <c r="A700" s="278" t="s">
        <v>270</v>
      </c>
      <c r="B700" s="148" t="s">
        <v>8</v>
      </c>
      <c r="C700" s="4" t="s">
        <v>22</v>
      </c>
      <c r="D700" s="458" t="s">
        <v>101</v>
      </c>
      <c r="E700" s="221"/>
      <c r="F700" s="123">
        <f>F701</f>
        <v>28143.799999999996</v>
      </c>
      <c r="G700" s="123"/>
      <c r="H700" s="123">
        <f>H701</f>
        <v>28143.799999999996</v>
      </c>
      <c r="I700" s="123"/>
      <c r="J700" s="313">
        <f>J701</f>
        <v>27704.699999999997</v>
      </c>
      <c r="K700" s="511">
        <f t="shared" si="187"/>
        <v>0.98439798463604777</v>
      </c>
      <c r="L700" s="227"/>
      <c r="M700" s="511"/>
      <c r="N700" s="116"/>
      <c r="P700" s="116"/>
      <c r="Q700" s="116"/>
    </row>
    <row r="701" spans="1:17" s="106" customFormat="1" x14ac:dyDescent="0.25">
      <c r="A701" s="199" t="s">
        <v>381</v>
      </c>
      <c r="B701" s="148" t="s">
        <v>8</v>
      </c>
      <c r="C701" s="4" t="s">
        <v>22</v>
      </c>
      <c r="D701" s="568" t="s">
        <v>517</v>
      </c>
      <c r="E701" s="220"/>
      <c r="F701" s="123">
        <f>F702</f>
        <v>28143.799999999996</v>
      </c>
      <c r="G701" s="227"/>
      <c r="H701" s="123">
        <f>H702</f>
        <v>28143.799999999996</v>
      </c>
      <c r="I701" s="227"/>
      <c r="J701" s="313">
        <f>J702</f>
        <v>27704.699999999997</v>
      </c>
      <c r="K701" s="511">
        <f t="shared" si="187"/>
        <v>0.98439798463604777</v>
      </c>
      <c r="L701" s="227"/>
      <c r="M701" s="511"/>
      <c r="N701" s="116"/>
      <c r="P701" s="116"/>
      <c r="Q701" s="116"/>
    </row>
    <row r="702" spans="1:17" s="106" customFormat="1" ht="31.5" x14ac:dyDescent="0.25">
      <c r="A702" s="199" t="s">
        <v>278</v>
      </c>
      <c r="B702" s="148" t="s">
        <v>8</v>
      </c>
      <c r="C702" s="4" t="s">
        <v>22</v>
      </c>
      <c r="D702" s="568" t="s">
        <v>518</v>
      </c>
      <c r="E702" s="220"/>
      <c r="F702" s="123">
        <f>F703</f>
        <v>28143.799999999996</v>
      </c>
      <c r="G702" s="123"/>
      <c r="H702" s="123">
        <f t="shared" ref="H702:J702" si="200">H703</f>
        <v>28143.799999999996</v>
      </c>
      <c r="I702" s="123"/>
      <c r="J702" s="313">
        <f t="shared" si="200"/>
        <v>27704.699999999997</v>
      </c>
      <c r="K702" s="511">
        <f t="shared" si="187"/>
        <v>0.98439798463604777</v>
      </c>
      <c r="L702" s="227"/>
      <c r="M702" s="511"/>
      <c r="N702" s="116"/>
      <c r="P702" s="116"/>
      <c r="Q702" s="116"/>
    </row>
    <row r="703" spans="1:17" s="106" customFormat="1" x14ac:dyDescent="0.25">
      <c r="A703" s="200" t="s">
        <v>207</v>
      </c>
      <c r="B703" s="148" t="s">
        <v>8</v>
      </c>
      <c r="C703" s="4" t="s">
        <v>22</v>
      </c>
      <c r="D703" s="568" t="s">
        <v>519</v>
      </c>
      <c r="E703" s="220"/>
      <c r="F703" s="123">
        <f>F704+F709+F712</f>
        <v>28143.799999999996</v>
      </c>
      <c r="G703" s="227"/>
      <c r="H703" s="123">
        <f>H704+H709+H712</f>
        <v>28143.799999999996</v>
      </c>
      <c r="I703" s="227"/>
      <c r="J703" s="313">
        <f>J704+J709+J712</f>
        <v>27704.699999999997</v>
      </c>
      <c r="K703" s="511">
        <f t="shared" si="187"/>
        <v>0.98439798463604777</v>
      </c>
      <c r="L703" s="227"/>
      <c r="M703" s="511"/>
      <c r="N703" s="116"/>
      <c r="P703" s="116"/>
      <c r="Q703" s="116"/>
    </row>
    <row r="704" spans="1:17" s="106" customFormat="1" ht="31.5" x14ac:dyDescent="0.25">
      <c r="A704" s="268" t="s">
        <v>208</v>
      </c>
      <c r="B704" s="148" t="s">
        <v>8</v>
      </c>
      <c r="C704" s="4" t="s">
        <v>22</v>
      </c>
      <c r="D704" s="568" t="s">
        <v>520</v>
      </c>
      <c r="E704" s="220"/>
      <c r="F704" s="123">
        <f>F705+F707</f>
        <v>1435.8</v>
      </c>
      <c r="G704" s="123"/>
      <c r="H704" s="123">
        <f>H705+H707</f>
        <v>1435.8</v>
      </c>
      <c r="I704" s="123"/>
      <c r="J704" s="313">
        <f>J705+J707</f>
        <v>1338.4</v>
      </c>
      <c r="K704" s="511">
        <f t="shared" si="187"/>
        <v>0.93216325393508859</v>
      </c>
      <c r="L704" s="227"/>
      <c r="M704" s="511"/>
      <c r="N704" s="116"/>
      <c r="P704" s="116"/>
      <c r="Q704" s="116"/>
    </row>
    <row r="705" spans="1:17" s="106" customFormat="1" x14ac:dyDescent="0.25">
      <c r="A705" s="268" t="s">
        <v>121</v>
      </c>
      <c r="B705" s="148" t="s">
        <v>8</v>
      </c>
      <c r="C705" s="4" t="s">
        <v>22</v>
      </c>
      <c r="D705" s="568" t="s">
        <v>520</v>
      </c>
      <c r="E705" s="220">
        <v>200</v>
      </c>
      <c r="F705" s="123">
        <f>F706</f>
        <v>1435.7</v>
      </c>
      <c r="G705" s="227"/>
      <c r="H705" s="123">
        <f>H706</f>
        <v>1435.7</v>
      </c>
      <c r="I705" s="227"/>
      <c r="J705" s="313">
        <f>J706</f>
        <v>1338.4</v>
      </c>
      <c r="K705" s="511">
        <f t="shared" si="187"/>
        <v>0.93222818137493912</v>
      </c>
      <c r="L705" s="227"/>
      <c r="M705" s="511"/>
      <c r="N705" s="116"/>
      <c r="P705" s="116"/>
      <c r="Q705" s="116"/>
    </row>
    <row r="706" spans="1:17" s="106" customFormat="1" ht="31.5" x14ac:dyDescent="0.25">
      <c r="A706" s="268" t="s">
        <v>52</v>
      </c>
      <c r="B706" s="148" t="s">
        <v>8</v>
      </c>
      <c r="C706" s="4" t="s">
        <v>22</v>
      </c>
      <c r="D706" s="568" t="s">
        <v>520</v>
      </c>
      <c r="E706" s="220">
        <v>240</v>
      </c>
      <c r="F706" s="123">
        <f>'ведом. 2024-2026'!AD774</f>
        <v>1435.7</v>
      </c>
      <c r="G706" s="227"/>
      <c r="H706" s="123">
        <f>'ведом. 2024-2026'!AE774</f>
        <v>1435.7</v>
      </c>
      <c r="I706" s="227"/>
      <c r="J706" s="313">
        <f>'ведом. 2024-2026'!AF774</f>
        <v>1338.4</v>
      </c>
      <c r="K706" s="511">
        <f t="shared" si="187"/>
        <v>0.93222818137493912</v>
      </c>
      <c r="L706" s="227"/>
      <c r="M706" s="511"/>
      <c r="N706" s="116"/>
      <c r="P706" s="116"/>
      <c r="Q706" s="116"/>
    </row>
    <row r="707" spans="1:17" s="106" customFormat="1" x14ac:dyDescent="0.25">
      <c r="A707" s="197" t="s">
        <v>42</v>
      </c>
      <c r="B707" s="148" t="s">
        <v>8</v>
      </c>
      <c r="C707" s="4" t="s">
        <v>22</v>
      </c>
      <c r="D707" s="568" t="s">
        <v>520</v>
      </c>
      <c r="E707" s="220">
        <v>800</v>
      </c>
      <c r="F707" s="123">
        <f>F708</f>
        <v>0.1</v>
      </c>
      <c r="G707" s="123"/>
      <c r="H707" s="123">
        <f>H708</f>
        <v>0.1</v>
      </c>
      <c r="I707" s="123"/>
      <c r="J707" s="313">
        <f>J708</f>
        <v>0</v>
      </c>
      <c r="K707" s="511">
        <f t="shared" si="187"/>
        <v>0</v>
      </c>
      <c r="L707" s="227"/>
      <c r="M707" s="511"/>
      <c r="N707" s="116"/>
      <c r="P707" s="116"/>
      <c r="Q707" s="116"/>
    </row>
    <row r="708" spans="1:17" s="106" customFormat="1" x14ac:dyDescent="0.25">
      <c r="A708" s="197" t="s">
        <v>58</v>
      </c>
      <c r="B708" s="148" t="s">
        <v>8</v>
      </c>
      <c r="C708" s="4" t="s">
        <v>22</v>
      </c>
      <c r="D708" s="568" t="s">
        <v>520</v>
      </c>
      <c r="E708" s="220">
        <v>850</v>
      </c>
      <c r="F708" s="123">
        <f>'ведом. 2024-2026'!AD776</f>
        <v>0.1</v>
      </c>
      <c r="G708" s="227"/>
      <c r="H708" s="123">
        <f>'ведом. 2024-2026'!AE776</f>
        <v>0.1</v>
      </c>
      <c r="I708" s="227"/>
      <c r="J708" s="313">
        <f>'ведом. 2024-2026'!AF776</f>
        <v>0</v>
      </c>
      <c r="K708" s="511">
        <f t="shared" si="187"/>
        <v>0</v>
      </c>
      <c r="L708" s="227"/>
      <c r="M708" s="511"/>
      <c r="N708" s="116"/>
      <c r="P708" s="116"/>
      <c r="Q708" s="116"/>
    </row>
    <row r="709" spans="1:17" s="106" customFormat="1" ht="31.5" x14ac:dyDescent="0.25">
      <c r="A709" s="216" t="s">
        <v>367</v>
      </c>
      <c r="B709" s="148" t="s">
        <v>8</v>
      </c>
      <c r="C709" s="4" t="s">
        <v>22</v>
      </c>
      <c r="D709" s="568" t="s">
        <v>521</v>
      </c>
      <c r="E709" s="220"/>
      <c r="F709" s="123">
        <f>F710</f>
        <v>10674.9</v>
      </c>
      <c r="G709" s="227"/>
      <c r="H709" s="123">
        <f>H710</f>
        <v>10674.9</v>
      </c>
      <c r="I709" s="227"/>
      <c r="J709" s="313">
        <f>J710</f>
        <v>10501.5</v>
      </c>
      <c r="K709" s="511">
        <f t="shared" si="187"/>
        <v>0.98375628811511118</v>
      </c>
      <c r="L709" s="227"/>
      <c r="M709" s="511"/>
      <c r="N709" s="116"/>
      <c r="P709" s="116"/>
      <c r="Q709" s="116"/>
    </row>
    <row r="710" spans="1:17" s="106" customFormat="1" ht="47.25" x14ac:dyDescent="0.25">
      <c r="A710" s="268" t="s">
        <v>41</v>
      </c>
      <c r="B710" s="148" t="s">
        <v>8</v>
      </c>
      <c r="C710" s="4" t="s">
        <v>22</v>
      </c>
      <c r="D710" s="568" t="s">
        <v>521</v>
      </c>
      <c r="E710" s="220">
        <v>100</v>
      </c>
      <c r="F710" s="123">
        <f>F711</f>
        <v>10674.9</v>
      </c>
      <c r="G710" s="227"/>
      <c r="H710" s="123">
        <f>H711</f>
        <v>10674.9</v>
      </c>
      <c r="I710" s="227"/>
      <c r="J710" s="313">
        <f>J711</f>
        <v>10501.5</v>
      </c>
      <c r="K710" s="511">
        <f t="shared" si="187"/>
        <v>0.98375628811511118</v>
      </c>
      <c r="L710" s="227"/>
      <c r="M710" s="511"/>
      <c r="N710" s="116"/>
      <c r="P710" s="116"/>
      <c r="Q710" s="116"/>
    </row>
    <row r="711" spans="1:17" s="106" customFormat="1" x14ac:dyDescent="0.25">
      <c r="A711" s="268" t="s">
        <v>97</v>
      </c>
      <c r="B711" s="148" t="s">
        <v>8</v>
      </c>
      <c r="C711" s="4" t="s">
        <v>22</v>
      </c>
      <c r="D711" s="568" t="s">
        <v>521</v>
      </c>
      <c r="E711" s="220">
        <v>120</v>
      </c>
      <c r="F711" s="123">
        <f>'ведом. 2024-2026'!AD779</f>
        <v>10674.9</v>
      </c>
      <c r="G711" s="227"/>
      <c r="H711" s="123">
        <f>'ведом. 2024-2026'!AE779</f>
        <v>10674.9</v>
      </c>
      <c r="I711" s="227"/>
      <c r="J711" s="313">
        <f>'ведом. 2024-2026'!AF779</f>
        <v>10501.5</v>
      </c>
      <c r="K711" s="511">
        <f t="shared" si="187"/>
        <v>0.98375628811511118</v>
      </c>
      <c r="L711" s="227"/>
      <c r="M711" s="511"/>
      <c r="N711" s="116"/>
      <c r="P711" s="116"/>
      <c r="Q711" s="116"/>
    </row>
    <row r="712" spans="1:17" s="106" customFormat="1" ht="31.5" x14ac:dyDescent="0.25">
      <c r="A712" s="268" t="s">
        <v>279</v>
      </c>
      <c r="B712" s="148" t="s">
        <v>8</v>
      </c>
      <c r="C712" s="4" t="s">
        <v>22</v>
      </c>
      <c r="D712" s="568" t="s">
        <v>522</v>
      </c>
      <c r="E712" s="220"/>
      <c r="F712" s="129">
        <f>F713</f>
        <v>16033.099999999999</v>
      </c>
      <c r="G712" s="227"/>
      <c r="H712" s="129">
        <f>H713</f>
        <v>16033.099999999999</v>
      </c>
      <c r="I712" s="227"/>
      <c r="J712" s="505">
        <f>J713</f>
        <v>15864.8</v>
      </c>
      <c r="K712" s="511">
        <f t="shared" si="187"/>
        <v>0.98950296573962615</v>
      </c>
      <c r="L712" s="227"/>
      <c r="M712" s="511"/>
      <c r="N712" s="116"/>
      <c r="P712" s="116"/>
      <c r="Q712" s="116"/>
    </row>
    <row r="713" spans="1:17" s="106" customFormat="1" ht="47.25" x14ac:dyDescent="0.25">
      <c r="A713" s="268" t="s">
        <v>41</v>
      </c>
      <c r="B713" s="148" t="s">
        <v>8</v>
      </c>
      <c r="C713" s="4" t="s">
        <v>22</v>
      </c>
      <c r="D713" s="568" t="s">
        <v>522</v>
      </c>
      <c r="E713" s="220">
        <v>100</v>
      </c>
      <c r="F713" s="123">
        <f>F714</f>
        <v>16033.099999999999</v>
      </c>
      <c r="G713" s="227"/>
      <c r="H713" s="123">
        <f>H714</f>
        <v>16033.099999999999</v>
      </c>
      <c r="I713" s="227"/>
      <c r="J713" s="313">
        <f>J714</f>
        <v>15864.8</v>
      </c>
      <c r="K713" s="511">
        <f t="shared" si="187"/>
        <v>0.98950296573962615</v>
      </c>
      <c r="L713" s="227"/>
      <c r="M713" s="511"/>
      <c r="N713" s="116"/>
      <c r="P713" s="116"/>
      <c r="Q713" s="116"/>
    </row>
    <row r="714" spans="1:17" s="106" customFormat="1" x14ac:dyDescent="0.25">
      <c r="A714" s="268" t="s">
        <v>97</v>
      </c>
      <c r="B714" s="148" t="s">
        <v>8</v>
      </c>
      <c r="C714" s="4" t="s">
        <v>22</v>
      </c>
      <c r="D714" s="568" t="s">
        <v>522</v>
      </c>
      <c r="E714" s="220">
        <v>120</v>
      </c>
      <c r="F714" s="123">
        <f>'ведом. 2024-2026'!AD782</f>
        <v>16033.099999999999</v>
      </c>
      <c r="G714" s="227"/>
      <c r="H714" s="123">
        <f>'ведом. 2024-2026'!AE782</f>
        <v>16033.099999999999</v>
      </c>
      <c r="I714" s="227"/>
      <c r="J714" s="313">
        <f>'ведом. 2024-2026'!AF782</f>
        <v>15864.8</v>
      </c>
      <c r="K714" s="511">
        <f t="shared" si="187"/>
        <v>0.98950296573962615</v>
      </c>
      <c r="L714" s="227"/>
      <c r="M714" s="511"/>
      <c r="N714" s="116"/>
      <c r="P714" s="116"/>
      <c r="Q714" s="116"/>
    </row>
    <row r="715" spans="1:17" s="106" customFormat="1" x14ac:dyDescent="0.25">
      <c r="A715" s="199" t="s">
        <v>300</v>
      </c>
      <c r="B715" s="148" t="s">
        <v>8</v>
      </c>
      <c r="C715" s="4" t="s">
        <v>22</v>
      </c>
      <c r="D715" s="568" t="s">
        <v>110</v>
      </c>
      <c r="E715" s="220"/>
      <c r="F715" s="123">
        <f t="shared" ref="F715:L717" si="201">F716</f>
        <v>5794</v>
      </c>
      <c r="G715" s="227">
        <f t="shared" si="201"/>
        <v>3285</v>
      </c>
      <c r="H715" s="123">
        <f t="shared" si="201"/>
        <v>5794</v>
      </c>
      <c r="I715" s="227">
        <f t="shared" si="201"/>
        <v>3285</v>
      </c>
      <c r="J715" s="313">
        <f t="shared" si="201"/>
        <v>5726</v>
      </c>
      <c r="K715" s="511">
        <f t="shared" si="187"/>
        <v>0.98826372109078353</v>
      </c>
      <c r="L715" s="227">
        <f t="shared" si="201"/>
        <v>3217</v>
      </c>
      <c r="M715" s="511">
        <f t="shared" si="188"/>
        <v>0.9792998477929985</v>
      </c>
      <c r="N715" s="116"/>
      <c r="P715" s="116"/>
      <c r="Q715" s="116"/>
    </row>
    <row r="716" spans="1:17" s="106" customFormat="1" x14ac:dyDescent="0.25">
      <c r="A716" s="199" t="s">
        <v>304</v>
      </c>
      <c r="B716" s="148" t="s">
        <v>8</v>
      </c>
      <c r="C716" s="4" t="s">
        <v>22</v>
      </c>
      <c r="D716" s="568" t="s">
        <v>111</v>
      </c>
      <c r="E716" s="220"/>
      <c r="F716" s="123">
        <f t="shared" si="201"/>
        <v>5794</v>
      </c>
      <c r="G716" s="227">
        <f t="shared" si="201"/>
        <v>3285</v>
      </c>
      <c r="H716" s="123">
        <f t="shared" si="201"/>
        <v>5794</v>
      </c>
      <c r="I716" s="227">
        <f t="shared" si="201"/>
        <v>3285</v>
      </c>
      <c r="J716" s="313">
        <f t="shared" si="201"/>
        <v>5726</v>
      </c>
      <c r="K716" s="511">
        <f t="shared" ref="K716:K779" si="202">J716/H716</f>
        <v>0.98826372109078353</v>
      </c>
      <c r="L716" s="227">
        <f t="shared" si="201"/>
        <v>3217</v>
      </c>
      <c r="M716" s="511">
        <f t="shared" ref="M716:M767" si="203">L716/I716</f>
        <v>0.9792998477929985</v>
      </c>
      <c r="N716" s="116"/>
      <c r="P716" s="116"/>
      <c r="Q716" s="116"/>
    </row>
    <row r="717" spans="1:17" s="106" customFormat="1" x14ac:dyDescent="0.25">
      <c r="A717" s="200" t="s">
        <v>552</v>
      </c>
      <c r="B717" s="148" t="s">
        <v>8</v>
      </c>
      <c r="C717" s="4" t="s">
        <v>22</v>
      </c>
      <c r="D717" s="568" t="s">
        <v>538</v>
      </c>
      <c r="E717" s="220"/>
      <c r="F717" s="123">
        <f>F718</f>
        <v>5794</v>
      </c>
      <c r="G717" s="227">
        <f t="shared" si="201"/>
        <v>3285</v>
      </c>
      <c r="H717" s="123">
        <f>H718</f>
        <v>5794</v>
      </c>
      <c r="I717" s="227">
        <f t="shared" si="201"/>
        <v>3285</v>
      </c>
      <c r="J717" s="313">
        <f t="shared" si="201"/>
        <v>5726</v>
      </c>
      <c r="K717" s="511">
        <f t="shared" si="202"/>
        <v>0.98826372109078353</v>
      </c>
      <c r="L717" s="227">
        <f t="shared" si="201"/>
        <v>3217</v>
      </c>
      <c r="M717" s="511">
        <f t="shared" si="203"/>
        <v>0.9792998477929985</v>
      </c>
      <c r="N717" s="116"/>
      <c r="P717" s="116"/>
      <c r="Q717" s="116"/>
    </row>
    <row r="718" spans="1:17" s="106" customFormat="1" x14ac:dyDescent="0.25">
      <c r="A718" s="200" t="s">
        <v>305</v>
      </c>
      <c r="B718" s="148" t="s">
        <v>8</v>
      </c>
      <c r="C718" s="4" t="s">
        <v>22</v>
      </c>
      <c r="D718" s="568" t="s">
        <v>540</v>
      </c>
      <c r="E718" s="220"/>
      <c r="F718" s="123">
        <f t="shared" ref="F718:L718" si="204">F719+F727</f>
        <v>5794</v>
      </c>
      <c r="G718" s="227">
        <f t="shared" si="204"/>
        <v>3285</v>
      </c>
      <c r="H718" s="123">
        <f t="shared" ref="H718:I718" si="205">H719+H727</f>
        <v>5794</v>
      </c>
      <c r="I718" s="227">
        <f t="shared" si="205"/>
        <v>3285</v>
      </c>
      <c r="J718" s="313">
        <f t="shared" si="204"/>
        <v>5726</v>
      </c>
      <c r="K718" s="511">
        <f t="shared" si="202"/>
        <v>0.98826372109078353</v>
      </c>
      <c r="L718" s="227">
        <f t="shared" si="204"/>
        <v>3217</v>
      </c>
      <c r="M718" s="511">
        <f t="shared" si="203"/>
        <v>0.9792998477929985</v>
      </c>
      <c r="N718" s="116"/>
      <c r="P718" s="116"/>
      <c r="Q718" s="116"/>
    </row>
    <row r="719" spans="1:17" s="106" customFormat="1" ht="47.25" x14ac:dyDescent="0.25">
      <c r="A719" s="200" t="s">
        <v>326</v>
      </c>
      <c r="B719" s="148" t="s">
        <v>8</v>
      </c>
      <c r="C719" s="4" t="s">
        <v>22</v>
      </c>
      <c r="D719" s="568" t="s">
        <v>541</v>
      </c>
      <c r="E719" s="220"/>
      <c r="F719" s="123">
        <f t="shared" ref="F719:L719" si="206">F722+F720+F724</f>
        <v>4185.8999999999996</v>
      </c>
      <c r="G719" s="227">
        <f t="shared" si="206"/>
        <v>2685</v>
      </c>
      <c r="H719" s="123">
        <f t="shared" ref="H719:I719" si="207">H722+H720+H724</f>
        <v>4185.8999999999996</v>
      </c>
      <c r="I719" s="227">
        <f t="shared" si="207"/>
        <v>2685</v>
      </c>
      <c r="J719" s="313">
        <f t="shared" si="206"/>
        <v>4117.8999999999996</v>
      </c>
      <c r="K719" s="511">
        <f t="shared" si="202"/>
        <v>0.98375498698009989</v>
      </c>
      <c r="L719" s="227">
        <f t="shared" si="206"/>
        <v>2617</v>
      </c>
      <c r="M719" s="511">
        <f t="shared" si="203"/>
        <v>0.97467411545623839</v>
      </c>
      <c r="N719" s="116"/>
      <c r="P719" s="116"/>
      <c r="Q719" s="116"/>
    </row>
    <row r="720" spans="1:17" s="106" customFormat="1" x14ac:dyDescent="0.25">
      <c r="A720" s="268" t="s">
        <v>121</v>
      </c>
      <c r="B720" s="148" t="s">
        <v>8</v>
      </c>
      <c r="C720" s="4" t="s">
        <v>22</v>
      </c>
      <c r="D720" s="568" t="s">
        <v>541</v>
      </c>
      <c r="E720" s="220">
        <v>200</v>
      </c>
      <c r="F720" s="123">
        <f t="shared" ref="F720:L720" si="208">F721</f>
        <v>2087.5</v>
      </c>
      <c r="G720" s="227">
        <f t="shared" si="208"/>
        <v>1967.5</v>
      </c>
      <c r="H720" s="123">
        <f t="shared" si="208"/>
        <v>2087.5</v>
      </c>
      <c r="I720" s="227">
        <f t="shared" si="208"/>
        <v>1967.5</v>
      </c>
      <c r="J720" s="313">
        <f t="shared" si="208"/>
        <v>2087.5</v>
      </c>
      <c r="K720" s="511">
        <f t="shared" si="202"/>
        <v>1</v>
      </c>
      <c r="L720" s="227">
        <f t="shared" si="208"/>
        <v>1967.5</v>
      </c>
      <c r="M720" s="511">
        <f t="shared" si="203"/>
        <v>1</v>
      </c>
      <c r="N720" s="116"/>
      <c r="P720" s="116"/>
      <c r="Q720" s="116"/>
    </row>
    <row r="721" spans="1:17" s="106" customFormat="1" ht="31.5" x14ac:dyDescent="0.25">
      <c r="A721" s="268" t="s">
        <v>52</v>
      </c>
      <c r="B721" s="148" t="s">
        <v>8</v>
      </c>
      <c r="C721" s="4" t="s">
        <v>22</v>
      </c>
      <c r="D721" s="568" t="s">
        <v>541</v>
      </c>
      <c r="E721" s="220">
        <v>240</v>
      </c>
      <c r="F721" s="123">
        <f>'ведом. 2024-2026'!AD352</f>
        <v>2087.5</v>
      </c>
      <c r="G721" s="227">
        <f>1971-3.5</f>
        <v>1967.5</v>
      </c>
      <c r="H721" s="123">
        <f>'ведом. 2024-2026'!AE352</f>
        <v>2087.5</v>
      </c>
      <c r="I721" s="227">
        <f>1971-3.5</f>
        <v>1967.5</v>
      </c>
      <c r="J721" s="313">
        <f>'ведом. 2024-2026'!AF352</f>
        <v>2087.5</v>
      </c>
      <c r="K721" s="511">
        <f t="shared" si="202"/>
        <v>1</v>
      </c>
      <c r="L721" s="227">
        <f>1967.5</f>
        <v>1967.5</v>
      </c>
      <c r="M721" s="511">
        <f t="shared" si="203"/>
        <v>1</v>
      </c>
      <c r="N721" s="116"/>
      <c r="P721" s="116"/>
      <c r="Q721" s="116"/>
    </row>
    <row r="722" spans="1:17" s="106" customFormat="1" x14ac:dyDescent="0.25">
      <c r="A722" s="268" t="s">
        <v>98</v>
      </c>
      <c r="B722" s="148" t="s">
        <v>8</v>
      </c>
      <c r="C722" s="4" t="s">
        <v>22</v>
      </c>
      <c r="D722" s="568" t="s">
        <v>541</v>
      </c>
      <c r="E722" s="220">
        <v>300</v>
      </c>
      <c r="F722" s="123">
        <f t="shared" ref="F722:J722" si="209">F723</f>
        <v>138.70000000000002</v>
      </c>
      <c r="G722" s="227"/>
      <c r="H722" s="123">
        <f t="shared" si="209"/>
        <v>138.70000000000002</v>
      </c>
      <c r="I722" s="227"/>
      <c r="J722" s="313">
        <f t="shared" si="209"/>
        <v>138.70000000000002</v>
      </c>
      <c r="K722" s="511">
        <f t="shared" si="202"/>
        <v>1</v>
      </c>
      <c r="L722" s="227"/>
      <c r="M722" s="511"/>
      <c r="N722" s="116"/>
      <c r="P722" s="116"/>
      <c r="Q722" s="116"/>
    </row>
    <row r="723" spans="1:17" s="106" customFormat="1" x14ac:dyDescent="0.25">
      <c r="A723" s="268" t="s">
        <v>40</v>
      </c>
      <c r="B723" s="148" t="s">
        <v>8</v>
      </c>
      <c r="C723" s="4" t="s">
        <v>22</v>
      </c>
      <c r="D723" s="568" t="s">
        <v>541</v>
      </c>
      <c r="E723" s="220">
        <v>320</v>
      </c>
      <c r="F723" s="123">
        <f>'ведом. 2024-2026'!AD354+'ведом. 2024-2026'!AD558</f>
        <v>138.70000000000002</v>
      </c>
      <c r="G723" s="227"/>
      <c r="H723" s="123">
        <f>'ведом. 2024-2026'!AE354+'ведом. 2024-2026'!AE558</f>
        <v>138.70000000000002</v>
      </c>
      <c r="I723" s="227"/>
      <c r="J723" s="313">
        <f>'ведом. 2024-2026'!AF354+'ведом. 2024-2026'!AF558</f>
        <v>138.70000000000002</v>
      </c>
      <c r="K723" s="511">
        <f t="shared" si="202"/>
        <v>1</v>
      </c>
      <c r="L723" s="227"/>
      <c r="M723" s="511"/>
      <c r="N723" s="116"/>
      <c r="P723" s="116"/>
      <c r="Q723" s="116"/>
    </row>
    <row r="724" spans="1:17" s="106" customFormat="1" ht="31.5" x14ac:dyDescent="0.25">
      <c r="A724" s="268" t="s">
        <v>61</v>
      </c>
      <c r="B724" s="148" t="s">
        <v>8</v>
      </c>
      <c r="C724" s="4" t="s">
        <v>22</v>
      </c>
      <c r="D724" s="568" t="s">
        <v>541</v>
      </c>
      <c r="E724" s="220">
        <v>600</v>
      </c>
      <c r="F724" s="123">
        <f>F725+F726</f>
        <v>1959.7000000000003</v>
      </c>
      <c r="G724" s="123">
        <f t="shared" ref="G724:L724" si="210">G725+G726</f>
        <v>717.5</v>
      </c>
      <c r="H724" s="123">
        <f>H725+H726</f>
        <v>1959.7000000000003</v>
      </c>
      <c r="I724" s="123">
        <f t="shared" ref="I724" si="211">I725+I726</f>
        <v>717.5</v>
      </c>
      <c r="J724" s="313">
        <f t="shared" si="210"/>
        <v>1891.7000000000003</v>
      </c>
      <c r="K724" s="511">
        <f t="shared" si="202"/>
        <v>0.96530081134867585</v>
      </c>
      <c r="L724" s="227">
        <f t="shared" si="210"/>
        <v>649.5</v>
      </c>
      <c r="M724" s="511">
        <f t="shared" si="203"/>
        <v>0.90522648083623691</v>
      </c>
      <c r="N724" s="116"/>
      <c r="P724" s="116"/>
      <c r="Q724" s="116"/>
    </row>
    <row r="725" spans="1:17" s="106" customFormat="1" x14ac:dyDescent="0.25">
      <c r="A725" s="268" t="s">
        <v>62</v>
      </c>
      <c r="B725" s="148" t="s">
        <v>8</v>
      </c>
      <c r="C725" s="4" t="s">
        <v>22</v>
      </c>
      <c r="D725" s="568" t="s">
        <v>541</v>
      </c>
      <c r="E725" s="220">
        <v>610</v>
      </c>
      <c r="F725" s="123">
        <f>'ведом. 2024-2026'!AD789+'ведом. 2024-2026'!AD356</f>
        <v>1951.8000000000002</v>
      </c>
      <c r="G725" s="227">
        <f>650+67.5</f>
        <v>717.5</v>
      </c>
      <c r="H725" s="123">
        <f>'ведом. 2024-2026'!AE789+'ведом. 2024-2026'!AE356</f>
        <v>1951.8000000000002</v>
      </c>
      <c r="I725" s="227">
        <f>650+67.5</f>
        <v>717.5</v>
      </c>
      <c r="J725" s="313">
        <f>'ведом. 2024-2026'!AF789+'ведом. 2024-2026'!AF356</f>
        <v>1883.8000000000002</v>
      </c>
      <c r="K725" s="511">
        <f t="shared" si="202"/>
        <v>0.96516036479147449</v>
      </c>
      <c r="L725" s="227">
        <f>649.5</f>
        <v>649.5</v>
      </c>
      <c r="M725" s="511">
        <f t="shared" si="203"/>
        <v>0.90522648083623691</v>
      </c>
      <c r="N725" s="116"/>
      <c r="P725" s="116"/>
      <c r="Q725" s="116"/>
    </row>
    <row r="726" spans="1:17" s="106" customFormat="1" x14ac:dyDescent="0.25">
      <c r="A726" s="366" t="s">
        <v>130</v>
      </c>
      <c r="B726" s="148" t="s">
        <v>8</v>
      </c>
      <c r="C726" s="4" t="s">
        <v>22</v>
      </c>
      <c r="D726" s="568" t="s">
        <v>541</v>
      </c>
      <c r="E726" s="220">
        <v>620</v>
      </c>
      <c r="F726" s="123">
        <f>'ведом. 2024-2026'!AD357</f>
        <v>7.9</v>
      </c>
      <c r="G726" s="227"/>
      <c r="H726" s="123">
        <f>'ведом. 2024-2026'!AE357</f>
        <v>7.9</v>
      </c>
      <c r="I726" s="227"/>
      <c r="J726" s="313">
        <f>'ведом. 2024-2026'!AF357</f>
        <v>7.9</v>
      </c>
      <c r="K726" s="511">
        <f t="shared" si="202"/>
        <v>1</v>
      </c>
      <c r="L726" s="227"/>
      <c r="M726" s="511"/>
      <c r="N726" s="116"/>
      <c r="P726" s="116"/>
      <c r="Q726" s="116"/>
    </row>
    <row r="727" spans="1:17" s="106" customFormat="1" ht="31.5" x14ac:dyDescent="0.25">
      <c r="A727" s="268" t="s">
        <v>327</v>
      </c>
      <c r="B727" s="148" t="s">
        <v>8</v>
      </c>
      <c r="C727" s="4" t="s">
        <v>22</v>
      </c>
      <c r="D727" s="568" t="s">
        <v>542</v>
      </c>
      <c r="E727" s="220"/>
      <c r="F727" s="123">
        <f t="shared" ref="F727:L728" si="212">F728</f>
        <v>1608.1</v>
      </c>
      <c r="G727" s="227">
        <f t="shared" si="212"/>
        <v>600</v>
      </c>
      <c r="H727" s="123">
        <f t="shared" si="212"/>
        <v>1608.1</v>
      </c>
      <c r="I727" s="227">
        <f t="shared" si="212"/>
        <v>600</v>
      </c>
      <c r="J727" s="313">
        <f t="shared" si="212"/>
        <v>1608.1</v>
      </c>
      <c r="K727" s="511">
        <f t="shared" si="202"/>
        <v>1</v>
      </c>
      <c r="L727" s="227">
        <f t="shared" si="212"/>
        <v>600</v>
      </c>
      <c r="M727" s="511">
        <f t="shared" si="203"/>
        <v>1</v>
      </c>
      <c r="N727" s="116"/>
      <c r="P727" s="116"/>
      <c r="Q727" s="116"/>
    </row>
    <row r="728" spans="1:17" s="106" customFormat="1" ht="31.5" x14ac:dyDescent="0.25">
      <c r="A728" s="268" t="s">
        <v>61</v>
      </c>
      <c r="B728" s="148" t="s">
        <v>8</v>
      </c>
      <c r="C728" s="4" t="s">
        <v>22</v>
      </c>
      <c r="D728" s="568" t="s">
        <v>542</v>
      </c>
      <c r="E728" s="221">
        <v>600</v>
      </c>
      <c r="F728" s="123">
        <f t="shared" si="212"/>
        <v>1608.1</v>
      </c>
      <c r="G728" s="227">
        <f t="shared" si="212"/>
        <v>600</v>
      </c>
      <c r="H728" s="123">
        <f t="shared" si="212"/>
        <v>1608.1</v>
      </c>
      <c r="I728" s="227">
        <f t="shared" si="212"/>
        <v>600</v>
      </c>
      <c r="J728" s="313">
        <f t="shared" si="212"/>
        <v>1608.1</v>
      </c>
      <c r="K728" s="511">
        <f t="shared" si="202"/>
        <v>1</v>
      </c>
      <c r="L728" s="227">
        <f t="shared" si="212"/>
        <v>600</v>
      </c>
      <c r="M728" s="511">
        <f t="shared" si="203"/>
        <v>1</v>
      </c>
      <c r="N728" s="116"/>
      <c r="P728" s="116"/>
      <c r="Q728" s="116"/>
    </row>
    <row r="729" spans="1:17" s="106" customFormat="1" x14ac:dyDescent="0.25">
      <c r="A729" s="268" t="s">
        <v>62</v>
      </c>
      <c r="B729" s="148" t="s">
        <v>8</v>
      </c>
      <c r="C729" s="4" t="s">
        <v>22</v>
      </c>
      <c r="D729" s="568" t="s">
        <v>542</v>
      </c>
      <c r="E729" s="221">
        <v>610</v>
      </c>
      <c r="F729" s="123">
        <f>'ведом. 2024-2026'!AD792</f>
        <v>1608.1</v>
      </c>
      <c r="G729" s="227">
        <v>600</v>
      </c>
      <c r="H729" s="123">
        <f>'ведом. 2024-2026'!AE792</f>
        <v>1608.1</v>
      </c>
      <c r="I729" s="227">
        <v>600</v>
      </c>
      <c r="J729" s="313">
        <f>'ведом. 2024-2026'!AF792</f>
        <v>1608.1</v>
      </c>
      <c r="K729" s="511">
        <f t="shared" si="202"/>
        <v>1</v>
      </c>
      <c r="L729" s="227">
        <f>600</f>
        <v>600</v>
      </c>
      <c r="M729" s="511">
        <f t="shared" si="203"/>
        <v>1</v>
      </c>
      <c r="N729" s="116"/>
      <c r="P729" s="116"/>
      <c r="Q729" s="116"/>
    </row>
    <row r="730" spans="1:17" s="106" customFormat="1" x14ac:dyDescent="0.25">
      <c r="A730" s="277" t="s">
        <v>21</v>
      </c>
      <c r="B730" s="150" t="s">
        <v>16</v>
      </c>
      <c r="C730" s="145"/>
      <c r="D730" s="458"/>
      <c r="E730" s="220"/>
      <c r="F730" s="125">
        <f>F731</f>
        <v>189575.8</v>
      </c>
      <c r="G730" s="242">
        <f t="shared" ref="G730:L731" si="213">G731</f>
        <v>19908.2</v>
      </c>
      <c r="H730" s="125">
        <f>H731</f>
        <v>189575.8</v>
      </c>
      <c r="I730" s="242">
        <f t="shared" si="213"/>
        <v>19908.2</v>
      </c>
      <c r="J730" s="502">
        <f t="shared" si="213"/>
        <v>188972.7</v>
      </c>
      <c r="K730" s="512">
        <f t="shared" si="202"/>
        <v>0.99681868677331187</v>
      </c>
      <c r="L730" s="242">
        <f t="shared" si="213"/>
        <v>19810.5</v>
      </c>
      <c r="M730" s="512">
        <f t="shared" si="203"/>
        <v>0.99509247445776106</v>
      </c>
      <c r="N730" s="116"/>
      <c r="P730" s="116"/>
      <c r="Q730" s="116"/>
    </row>
    <row r="731" spans="1:17" s="106" customFormat="1" x14ac:dyDescent="0.25">
      <c r="A731" s="268" t="s">
        <v>65</v>
      </c>
      <c r="B731" s="148" t="s">
        <v>16</v>
      </c>
      <c r="C731" s="4" t="s">
        <v>29</v>
      </c>
      <c r="D731" s="458"/>
      <c r="E731" s="220"/>
      <c r="F731" s="123">
        <f>F732</f>
        <v>189575.8</v>
      </c>
      <c r="G731" s="123">
        <f t="shared" si="213"/>
        <v>19908.2</v>
      </c>
      <c r="H731" s="123">
        <f>H732</f>
        <v>189575.8</v>
      </c>
      <c r="I731" s="123">
        <f t="shared" si="213"/>
        <v>19908.2</v>
      </c>
      <c r="J731" s="313">
        <f t="shared" si="213"/>
        <v>188972.7</v>
      </c>
      <c r="K731" s="511">
        <f t="shared" si="202"/>
        <v>0.99681868677331187</v>
      </c>
      <c r="L731" s="227">
        <f t="shared" si="213"/>
        <v>19810.5</v>
      </c>
      <c r="M731" s="511">
        <f t="shared" si="203"/>
        <v>0.99509247445776106</v>
      </c>
      <c r="N731" s="116"/>
      <c r="P731" s="116"/>
      <c r="Q731" s="116"/>
    </row>
    <row r="732" spans="1:17" s="106" customFormat="1" x14ac:dyDescent="0.25">
      <c r="A732" s="199" t="s">
        <v>612</v>
      </c>
      <c r="B732" s="148" t="s">
        <v>16</v>
      </c>
      <c r="C732" s="4" t="s">
        <v>29</v>
      </c>
      <c r="D732" s="568" t="s">
        <v>115</v>
      </c>
      <c r="E732" s="221"/>
      <c r="F732" s="123">
        <f t="shared" ref="F732:L732" si="214">F733+F745+F767</f>
        <v>189575.8</v>
      </c>
      <c r="G732" s="123">
        <f>G733+G745+G767</f>
        <v>19908.2</v>
      </c>
      <c r="H732" s="123">
        <f t="shared" ref="H732" si="215">H733+H745+H767</f>
        <v>189575.8</v>
      </c>
      <c r="I732" s="123">
        <f>I733+I745+I767</f>
        <v>19908.2</v>
      </c>
      <c r="J732" s="313">
        <f t="shared" si="214"/>
        <v>188972.7</v>
      </c>
      <c r="K732" s="511">
        <f t="shared" si="202"/>
        <v>0.99681868677331187</v>
      </c>
      <c r="L732" s="227">
        <f t="shared" si="214"/>
        <v>19810.5</v>
      </c>
      <c r="M732" s="511">
        <f t="shared" si="203"/>
        <v>0.99509247445776106</v>
      </c>
      <c r="N732" s="116"/>
      <c r="P732" s="116"/>
      <c r="Q732" s="116"/>
    </row>
    <row r="733" spans="1:17" s="106" customFormat="1" x14ac:dyDescent="0.25">
      <c r="A733" s="199" t="s">
        <v>523</v>
      </c>
      <c r="B733" s="148" t="s">
        <v>16</v>
      </c>
      <c r="C733" s="4" t="s">
        <v>29</v>
      </c>
      <c r="D733" s="568" t="s">
        <v>322</v>
      </c>
      <c r="E733" s="221"/>
      <c r="F733" s="123">
        <f>F734+F741</f>
        <v>29037.199999999993</v>
      </c>
      <c r="G733" s="123">
        <f>G734+G741</f>
        <v>1607</v>
      </c>
      <c r="H733" s="123">
        <f>H734+H741</f>
        <v>29037.199999999993</v>
      </c>
      <c r="I733" s="123">
        <f>I734+I741</f>
        <v>1607</v>
      </c>
      <c r="J733" s="313">
        <f t="shared" ref="J733" si="216">J734+J741</f>
        <v>29037.200000000001</v>
      </c>
      <c r="K733" s="511">
        <f t="shared" si="202"/>
        <v>1.0000000000000002</v>
      </c>
      <c r="L733" s="227">
        <f>L734</f>
        <v>1607</v>
      </c>
      <c r="M733" s="511">
        <f t="shared" si="203"/>
        <v>1</v>
      </c>
      <c r="N733" s="116"/>
      <c r="P733" s="116"/>
      <c r="Q733" s="116"/>
    </row>
    <row r="734" spans="1:17" s="106" customFormat="1" x14ac:dyDescent="0.25">
      <c r="A734" s="199" t="s">
        <v>323</v>
      </c>
      <c r="B734" s="148" t="s">
        <v>16</v>
      </c>
      <c r="C734" s="4" t="s">
        <v>29</v>
      </c>
      <c r="D734" s="568" t="s">
        <v>324</v>
      </c>
      <c r="E734" s="221"/>
      <c r="F734" s="123">
        <f>F735+F738</f>
        <v>28857.199999999993</v>
      </c>
      <c r="G734" s="123">
        <f>G735+G738</f>
        <v>1607</v>
      </c>
      <c r="H734" s="123">
        <f>H735+H738</f>
        <v>28857.199999999993</v>
      </c>
      <c r="I734" s="123">
        <f>I735+I738</f>
        <v>1607</v>
      </c>
      <c r="J734" s="313">
        <f t="shared" ref="J734" si="217">J735+J738</f>
        <v>28857.200000000001</v>
      </c>
      <c r="K734" s="511">
        <f t="shared" si="202"/>
        <v>1.0000000000000002</v>
      </c>
      <c r="L734" s="227">
        <f>L738</f>
        <v>1607</v>
      </c>
      <c r="M734" s="511">
        <f t="shared" si="203"/>
        <v>1</v>
      </c>
      <c r="N734" s="116"/>
      <c r="P734" s="116"/>
      <c r="Q734" s="116"/>
    </row>
    <row r="735" spans="1:17" s="106" customFormat="1" ht="31.5" x14ac:dyDescent="0.25">
      <c r="A735" s="268" t="s">
        <v>259</v>
      </c>
      <c r="B735" s="148" t="s">
        <v>16</v>
      </c>
      <c r="C735" s="4" t="s">
        <v>29</v>
      </c>
      <c r="D735" s="568" t="s">
        <v>260</v>
      </c>
      <c r="E735" s="221"/>
      <c r="F735" s="123">
        <f>F736</f>
        <v>27250.199999999993</v>
      </c>
      <c r="G735" s="227"/>
      <c r="H735" s="123">
        <f>H736</f>
        <v>27250.199999999993</v>
      </c>
      <c r="I735" s="227"/>
      <c r="J735" s="313">
        <f>J736</f>
        <v>27250.2</v>
      </c>
      <c r="K735" s="511">
        <f t="shared" si="202"/>
        <v>1.0000000000000002</v>
      </c>
      <c r="L735" s="227"/>
      <c r="M735" s="511"/>
      <c r="N735" s="116"/>
      <c r="P735" s="116"/>
      <c r="Q735" s="116"/>
    </row>
    <row r="736" spans="1:17" s="106" customFormat="1" ht="31.5" x14ac:dyDescent="0.25">
      <c r="A736" s="268" t="s">
        <v>61</v>
      </c>
      <c r="B736" s="148" t="s">
        <v>16</v>
      </c>
      <c r="C736" s="4" t="s">
        <v>29</v>
      </c>
      <c r="D736" s="568" t="s">
        <v>260</v>
      </c>
      <c r="E736" s="220">
        <v>600</v>
      </c>
      <c r="F736" s="123">
        <f>F737</f>
        <v>27250.199999999993</v>
      </c>
      <c r="G736" s="227"/>
      <c r="H736" s="123">
        <f>H737</f>
        <v>27250.199999999993</v>
      </c>
      <c r="I736" s="227"/>
      <c r="J736" s="313">
        <f>J737</f>
        <v>27250.2</v>
      </c>
      <c r="K736" s="511">
        <f t="shared" si="202"/>
        <v>1.0000000000000002</v>
      </c>
      <c r="L736" s="227"/>
      <c r="M736" s="511"/>
      <c r="N736" s="116"/>
      <c r="P736" s="116"/>
      <c r="Q736" s="116"/>
    </row>
    <row r="737" spans="1:17" s="106" customFormat="1" x14ac:dyDescent="0.25">
      <c r="A737" s="268" t="s">
        <v>62</v>
      </c>
      <c r="B737" s="148" t="s">
        <v>16</v>
      </c>
      <c r="C737" s="4" t="s">
        <v>29</v>
      </c>
      <c r="D737" s="568" t="s">
        <v>260</v>
      </c>
      <c r="E737" s="220">
        <v>610</v>
      </c>
      <c r="F737" s="123">
        <f>'ведом. 2024-2026'!AD365</f>
        <v>27250.199999999993</v>
      </c>
      <c r="G737" s="227"/>
      <c r="H737" s="123">
        <f>'ведом. 2024-2026'!AD365</f>
        <v>27250.199999999993</v>
      </c>
      <c r="I737" s="227"/>
      <c r="J737" s="313">
        <f>'ведом. 2024-2026'!AF365</f>
        <v>27250.2</v>
      </c>
      <c r="K737" s="511">
        <f t="shared" si="202"/>
        <v>1.0000000000000002</v>
      </c>
      <c r="L737" s="227"/>
      <c r="M737" s="511"/>
      <c r="N737" s="116"/>
      <c r="P737" s="116"/>
      <c r="Q737" s="116"/>
    </row>
    <row r="738" spans="1:17" s="106" customFormat="1" ht="31.5" x14ac:dyDescent="0.25">
      <c r="A738" s="347" t="s">
        <v>796</v>
      </c>
      <c r="B738" s="349" t="s">
        <v>16</v>
      </c>
      <c r="C738" s="350" t="s">
        <v>29</v>
      </c>
      <c r="D738" s="570" t="s">
        <v>803</v>
      </c>
      <c r="E738" s="588"/>
      <c r="F738" s="123">
        <f t="shared" ref="F738:I739" si="218">F739</f>
        <v>1607</v>
      </c>
      <c r="G738" s="123">
        <f t="shared" si="218"/>
        <v>1607</v>
      </c>
      <c r="H738" s="123">
        <f t="shared" si="218"/>
        <v>1607</v>
      </c>
      <c r="I738" s="123">
        <f t="shared" si="218"/>
        <v>1607</v>
      </c>
      <c r="J738" s="313">
        <f t="shared" ref="J738:J739" si="219">J739</f>
        <v>1607</v>
      </c>
      <c r="K738" s="511">
        <f t="shared" si="202"/>
        <v>1</v>
      </c>
      <c r="L738" s="227">
        <f>L739</f>
        <v>1607</v>
      </c>
      <c r="M738" s="511">
        <f t="shared" si="203"/>
        <v>1</v>
      </c>
      <c r="N738" s="116"/>
      <c r="P738" s="116"/>
      <c r="Q738" s="116"/>
    </row>
    <row r="739" spans="1:17" s="106" customFormat="1" ht="31.5" x14ac:dyDescent="0.25">
      <c r="A739" s="347" t="s">
        <v>61</v>
      </c>
      <c r="B739" s="349" t="s">
        <v>16</v>
      </c>
      <c r="C739" s="350" t="s">
        <v>29</v>
      </c>
      <c r="D739" s="570" t="s">
        <v>803</v>
      </c>
      <c r="E739" s="427">
        <v>600</v>
      </c>
      <c r="F739" s="123">
        <f t="shared" si="218"/>
        <v>1607</v>
      </c>
      <c r="G739" s="123">
        <f t="shared" si="218"/>
        <v>1607</v>
      </c>
      <c r="H739" s="123">
        <f t="shared" si="218"/>
        <v>1607</v>
      </c>
      <c r="I739" s="123">
        <f t="shared" si="218"/>
        <v>1607</v>
      </c>
      <c r="J739" s="313">
        <f t="shared" si="219"/>
        <v>1607</v>
      </c>
      <c r="K739" s="511">
        <f t="shared" si="202"/>
        <v>1</v>
      </c>
      <c r="L739" s="227">
        <f>L740</f>
        <v>1607</v>
      </c>
      <c r="M739" s="511">
        <f t="shared" si="203"/>
        <v>1</v>
      </c>
      <c r="N739" s="116"/>
      <c r="P739" s="116"/>
      <c r="Q739" s="116"/>
    </row>
    <row r="740" spans="1:17" s="106" customFormat="1" x14ac:dyDescent="0.25">
      <c r="A740" s="347" t="s">
        <v>62</v>
      </c>
      <c r="B740" s="349" t="s">
        <v>16</v>
      </c>
      <c r="C740" s="350" t="s">
        <v>29</v>
      </c>
      <c r="D740" s="570" t="s">
        <v>803</v>
      </c>
      <c r="E740" s="427">
        <v>610</v>
      </c>
      <c r="F740" s="123">
        <f>'ведом. 2024-2026'!AD368</f>
        <v>1607</v>
      </c>
      <c r="G740" s="227">
        <f>F740</f>
        <v>1607</v>
      </c>
      <c r="H740" s="123">
        <f>'ведом. 2024-2026'!AD368</f>
        <v>1607</v>
      </c>
      <c r="I740" s="227">
        <f>H740</f>
        <v>1607</v>
      </c>
      <c r="J740" s="313">
        <f>'ведом. 2024-2026'!AF368</f>
        <v>1607</v>
      </c>
      <c r="K740" s="511">
        <f t="shared" si="202"/>
        <v>1</v>
      </c>
      <c r="L740" s="227">
        <v>1607</v>
      </c>
      <c r="M740" s="511">
        <f t="shared" si="203"/>
        <v>1</v>
      </c>
      <c r="N740" s="116"/>
      <c r="P740" s="116"/>
      <c r="Q740" s="116"/>
    </row>
    <row r="741" spans="1:17" s="106" customFormat="1" ht="47.25" x14ac:dyDescent="0.25">
      <c r="A741" s="347" t="s">
        <v>782</v>
      </c>
      <c r="B741" s="349" t="s">
        <v>16</v>
      </c>
      <c r="C741" s="350" t="s">
        <v>29</v>
      </c>
      <c r="D741" s="570" t="s">
        <v>783</v>
      </c>
      <c r="E741" s="427"/>
      <c r="F741" s="123">
        <f>F742</f>
        <v>180</v>
      </c>
      <c r="G741" s="123"/>
      <c r="H741" s="123">
        <f>H742</f>
        <v>180</v>
      </c>
      <c r="I741" s="123"/>
      <c r="J741" s="313">
        <f t="shared" ref="J741:J743" si="220">J742</f>
        <v>180</v>
      </c>
      <c r="K741" s="511">
        <f t="shared" si="202"/>
        <v>1</v>
      </c>
      <c r="L741" s="227"/>
      <c r="M741" s="511"/>
      <c r="N741" s="116"/>
      <c r="P741" s="116"/>
      <c r="Q741" s="116"/>
    </row>
    <row r="742" spans="1:17" s="106" customFormat="1" x14ac:dyDescent="0.25">
      <c r="A742" s="347" t="s">
        <v>794</v>
      </c>
      <c r="B742" s="349" t="s">
        <v>16</v>
      </c>
      <c r="C742" s="350" t="s">
        <v>29</v>
      </c>
      <c r="D742" s="570" t="s">
        <v>795</v>
      </c>
      <c r="E742" s="427"/>
      <c r="F742" s="123">
        <f>F743</f>
        <v>180</v>
      </c>
      <c r="G742" s="123"/>
      <c r="H742" s="123">
        <f>H743</f>
        <v>180</v>
      </c>
      <c r="I742" s="123"/>
      <c r="J742" s="313">
        <f t="shared" si="220"/>
        <v>180</v>
      </c>
      <c r="K742" s="511">
        <f t="shared" si="202"/>
        <v>1</v>
      </c>
      <c r="L742" s="227"/>
      <c r="M742" s="511"/>
      <c r="N742" s="116"/>
      <c r="P742" s="116"/>
      <c r="Q742" s="116"/>
    </row>
    <row r="743" spans="1:17" s="106" customFormat="1" ht="31.5" x14ac:dyDescent="0.25">
      <c r="A743" s="347" t="s">
        <v>61</v>
      </c>
      <c r="B743" s="349" t="s">
        <v>16</v>
      </c>
      <c r="C743" s="350" t="s">
        <v>29</v>
      </c>
      <c r="D743" s="570" t="s">
        <v>795</v>
      </c>
      <c r="E743" s="427">
        <v>600</v>
      </c>
      <c r="F743" s="123">
        <f>F744</f>
        <v>180</v>
      </c>
      <c r="G743" s="123"/>
      <c r="H743" s="123">
        <f>H744</f>
        <v>180</v>
      </c>
      <c r="I743" s="123"/>
      <c r="J743" s="313">
        <f t="shared" si="220"/>
        <v>180</v>
      </c>
      <c r="K743" s="511">
        <f t="shared" si="202"/>
        <v>1</v>
      </c>
      <c r="L743" s="227"/>
      <c r="M743" s="511"/>
      <c r="N743" s="116"/>
      <c r="P743" s="116"/>
      <c r="Q743" s="116"/>
    </row>
    <row r="744" spans="1:17" s="106" customFormat="1" x14ac:dyDescent="0.25">
      <c r="A744" s="347" t="s">
        <v>62</v>
      </c>
      <c r="B744" s="349" t="s">
        <v>16</v>
      </c>
      <c r="C744" s="350" t="s">
        <v>29</v>
      </c>
      <c r="D744" s="570" t="s">
        <v>795</v>
      </c>
      <c r="E744" s="427">
        <v>610</v>
      </c>
      <c r="F744" s="123">
        <f>'ведом. 2024-2026'!AD372</f>
        <v>180</v>
      </c>
      <c r="G744" s="227"/>
      <c r="H744" s="123">
        <f>'ведом. 2024-2026'!AD372</f>
        <v>180</v>
      </c>
      <c r="I744" s="227"/>
      <c r="J744" s="313">
        <f>'ведом. 2024-2026'!AF372</f>
        <v>180</v>
      </c>
      <c r="K744" s="511">
        <f t="shared" si="202"/>
        <v>1</v>
      </c>
      <c r="L744" s="227"/>
      <c r="M744" s="511"/>
      <c r="N744" s="116"/>
      <c r="P744" s="116"/>
      <c r="Q744" s="116"/>
    </row>
    <row r="745" spans="1:17" s="106" customFormat="1" x14ac:dyDescent="0.25">
      <c r="A745" s="214" t="s">
        <v>531</v>
      </c>
      <c r="B745" s="148" t="s">
        <v>16</v>
      </c>
      <c r="C745" s="4" t="s">
        <v>29</v>
      </c>
      <c r="D745" s="568" t="s">
        <v>141</v>
      </c>
      <c r="E745" s="597"/>
      <c r="F745" s="123">
        <f>F746+F763+F759</f>
        <v>59454.5</v>
      </c>
      <c r="G745" s="123">
        <f>G746+G763</f>
        <v>12693</v>
      </c>
      <c r="H745" s="123">
        <f>H746+H763+H759</f>
        <v>59454.5</v>
      </c>
      <c r="I745" s="123">
        <f>I746+I763</f>
        <v>12693</v>
      </c>
      <c r="J745" s="313">
        <f>J746+J763+J759</f>
        <v>59394</v>
      </c>
      <c r="K745" s="511">
        <f t="shared" si="202"/>
        <v>0.99898241512417063</v>
      </c>
      <c r="L745" s="227">
        <f>L746+L763</f>
        <v>12693</v>
      </c>
      <c r="M745" s="511">
        <f t="shared" si="203"/>
        <v>1</v>
      </c>
      <c r="N745" s="116"/>
      <c r="P745" s="116"/>
      <c r="Q745" s="116"/>
    </row>
    <row r="746" spans="1:17" s="106" customFormat="1" ht="31.5" x14ac:dyDescent="0.25">
      <c r="A746" s="199" t="s">
        <v>261</v>
      </c>
      <c r="B746" s="148" t="s">
        <v>16</v>
      </c>
      <c r="C746" s="4" t="s">
        <v>29</v>
      </c>
      <c r="D746" s="568" t="s">
        <v>142</v>
      </c>
      <c r="E746" s="220"/>
      <c r="F746" s="123">
        <f>F747+F750+F753+F756</f>
        <v>38274.5</v>
      </c>
      <c r="G746" s="123">
        <f t="shared" ref="G746:J746" si="221">G747+G750+G753+G756</f>
        <v>2693</v>
      </c>
      <c r="H746" s="123">
        <f>H747+H750+H753+H756</f>
        <v>38274.5</v>
      </c>
      <c r="I746" s="123">
        <f t="shared" ref="I746" si="222">I747+I750+I753+I756</f>
        <v>2693</v>
      </c>
      <c r="J746" s="313">
        <f t="shared" si="221"/>
        <v>38274.5</v>
      </c>
      <c r="K746" s="511">
        <f t="shared" si="202"/>
        <v>1</v>
      </c>
      <c r="L746" s="227">
        <f>L747+L750+L753+L756</f>
        <v>2693</v>
      </c>
      <c r="M746" s="511">
        <f t="shared" si="203"/>
        <v>1</v>
      </c>
      <c r="N746" s="116"/>
      <c r="P746" s="116"/>
      <c r="Q746" s="116"/>
    </row>
    <row r="747" spans="1:17" s="106" customFormat="1" ht="31.5" x14ac:dyDescent="0.25">
      <c r="A747" s="268" t="s">
        <v>262</v>
      </c>
      <c r="B747" s="148" t="s">
        <v>16</v>
      </c>
      <c r="C747" s="4" t="s">
        <v>29</v>
      </c>
      <c r="D747" s="568" t="s">
        <v>263</v>
      </c>
      <c r="E747" s="220"/>
      <c r="F747" s="123">
        <f>F748</f>
        <v>1000</v>
      </c>
      <c r="G747" s="227"/>
      <c r="H747" s="123">
        <f>H748</f>
        <v>1000</v>
      </c>
      <c r="I747" s="227"/>
      <c r="J747" s="313">
        <f>J748</f>
        <v>1000</v>
      </c>
      <c r="K747" s="511">
        <f t="shared" si="202"/>
        <v>1</v>
      </c>
      <c r="L747" s="227"/>
      <c r="M747" s="511"/>
      <c r="N747" s="116"/>
      <c r="P747" s="116"/>
      <c r="Q747" s="116"/>
    </row>
    <row r="748" spans="1:17" s="106" customFormat="1" ht="31.5" x14ac:dyDescent="0.25">
      <c r="A748" s="268" t="s">
        <v>61</v>
      </c>
      <c r="B748" s="148" t="s">
        <v>16</v>
      </c>
      <c r="C748" s="4" t="s">
        <v>29</v>
      </c>
      <c r="D748" s="568" t="s">
        <v>263</v>
      </c>
      <c r="E748" s="220">
        <v>600</v>
      </c>
      <c r="F748" s="123">
        <f>F749</f>
        <v>1000</v>
      </c>
      <c r="G748" s="227"/>
      <c r="H748" s="123">
        <f>H749</f>
        <v>1000</v>
      </c>
      <c r="I748" s="227"/>
      <c r="J748" s="313">
        <f>J749</f>
        <v>1000</v>
      </c>
      <c r="K748" s="511">
        <f t="shared" si="202"/>
        <v>1</v>
      </c>
      <c r="L748" s="227"/>
      <c r="M748" s="511"/>
      <c r="N748" s="116"/>
      <c r="P748" s="116"/>
      <c r="Q748" s="116"/>
    </row>
    <row r="749" spans="1:17" s="106" customFormat="1" x14ac:dyDescent="0.25">
      <c r="A749" s="268" t="s">
        <v>62</v>
      </c>
      <c r="B749" s="148" t="s">
        <v>16</v>
      </c>
      <c r="C749" s="4" t="s">
        <v>29</v>
      </c>
      <c r="D749" s="568" t="s">
        <v>263</v>
      </c>
      <c r="E749" s="220">
        <v>610</v>
      </c>
      <c r="F749" s="123">
        <f>'ведом. 2024-2026'!AD377</f>
        <v>1000</v>
      </c>
      <c r="G749" s="227"/>
      <c r="H749" s="123">
        <f>'ведом. 2024-2026'!AD377</f>
        <v>1000</v>
      </c>
      <c r="I749" s="227"/>
      <c r="J749" s="313">
        <f>'ведом. 2024-2026'!AF377</f>
        <v>1000</v>
      </c>
      <c r="K749" s="511">
        <f t="shared" si="202"/>
        <v>1</v>
      </c>
      <c r="L749" s="227"/>
      <c r="M749" s="511"/>
      <c r="N749" s="116"/>
      <c r="P749" s="116"/>
      <c r="Q749" s="116"/>
    </row>
    <row r="750" spans="1:17" s="106" customFormat="1" ht="31.5" x14ac:dyDescent="0.25">
      <c r="A750" s="268" t="s">
        <v>264</v>
      </c>
      <c r="B750" s="148" t="s">
        <v>16</v>
      </c>
      <c r="C750" s="4" t="s">
        <v>29</v>
      </c>
      <c r="D750" s="568" t="s">
        <v>265</v>
      </c>
      <c r="E750" s="220"/>
      <c r="F750" s="123">
        <f>F751</f>
        <v>34515.9</v>
      </c>
      <c r="G750" s="227"/>
      <c r="H750" s="123">
        <f>H751</f>
        <v>34515.9</v>
      </c>
      <c r="I750" s="227"/>
      <c r="J750" s="313">
        <f>J751</f>
        <v>34515.9</v>
      </c>
      <c r="K750" s="511">
        <f t="shared" si="202"/>
        <v>1</v>
      </c>
      <c r="L750" s="227"/>
      <c r="M750" s="511"/>
      <c r="N750" s="116"/>
      <c r="P750" s="116"/>
      <c r="Q750" s="116"/>
    </row>
    <row r="751" spans="1:17" s="106" customFormat="1" ht="31.5" x14ac:dyDescent="0.25">
      <c r="A751" s="268" t="s">
        <v>61</v>
      </c>
      <c r="B751" s="148" t="s">
        <v>16</v>
      </c>
      <c r="C751" s="4" t="s">
        <v>29</v>
      </c>
      <c r="D751" s="568" t="s">
        <v>265</v>
      </c>
      <c r="E751" s="220">
        <v>600</v>
      </c>
      <c r="F751" s="123">
        <f>F752</f>
        <v>34515.9</v>
      </c>
      <c r="G751" s="227"/>
      <c r="H751" s="123">
        <f>H752</f>
        <v>34515.9</v>
      </c>
      <c r="I751" s="227"/>
      <c r="J751" s="313">
        <f>J752</f>
        <v>34515.9</v>
      </c>
      <c r="K751" s="511">
        <f t="shared" si="202"/>
        <v>1</v>
      </c>
      <c r="L751" s="227"/>
      <c r="M751" s="511"/>
      <c r="N751" s="116"/>
      <c r="P751" s="116"/>
      <c r="Q751" s="116"/>
    </row>
    <row r="752" spans="1:17" s="106" customFormat="1" x14ac:dyDescent="0.25">
      <c r="A752" s="268" t="s">
        <v>62</v>
      </c>
      <c r="B752" s="148" t="s">
        <v>16</v>
      </c>
      <c r="C752" s="4" t="s">
        <v>29</v>
      </c>
      <c r="D752" s="568" t="s">
        <v>265</v>
      </c>
      <c r="E752" s="220">
        <v>610</v>
      </c>
      <c r="F752" s="123">
        <f>'ведом. 2024-2026'!AD380</f>
        <v>34515.9</v>
      </c>
      <c r="G752" s="227"/>
      <c r="H752" s="123">
        <f>'ведом. 2024-2026'!AD380</f>
        <v>34515.9</v>
      </c>
      <c r="I752" s="227"/>
      <c r="J752" s="313">
        <f>'ведом. 2024-2026'!AF380</f>
        <v>34515.9</v>
      </c>
      <c r="K752" s="511">
        <f t="shared" si="202"/>
        <v>1</v>
      </c>
      <c r="L752" s="227"/>
      <c r="M752" s="511"/>
      <c r="N752" s="116"/>
      <c r="P752" s="116"/>
      <c r="Q752" s="116"/>
    </row>
    <row r="753" spans="1:17" s="106" customFormat="1" ht="31.5" x14ac:dyDescent="0.25">
      <c r="A753" s="268" t="s">
        <v>534</v>
      </c>
      <c r="B753" s="148" t="s">
        <v>16</v>
      </c>
      <c r="C753" s="4" t="s">
        <v>29</v>
      </c>
      <c r="D753" s="568" t="s">
        <v>424</v>
      </c>
      <c r="E753" s="220"/>
      <c r="F753" s="123">
        <f t="shared" ref="F753:L754" si="223">F754</f>
        <v>360.6</v>
      </c>
      <c r="G753" s="227">
        <f t="shared" si="223"/>
        <v>295</v>
      </c>
      <c r="H753" s="123">
        <f t="shared" si="223"/>
        <v>360.6</v>
      </c>
      <c r="I753" s="227">
        <f t="shared" si="223"/>
        <v>295</v>
      </c>
      <c r="J753" s="313">
        <f t="shared" si="223"/>
        <v>360.6</v>
      </c>
      <c r="K753" s="511">
        <f t="shared" si="202"/>
        <v>1</v>
      </c>
      <c r="L753" s="227">
        <f t="shared" si="223"/>
        <v>295</v>
      </c>
      <c r="M753" s="511">
        <f t="shared" si="203"/>
        <v>1</v>
      </c>
      <c r="N753" s="116"/>
      <c r="P753" s="116"/>
      <c r="Q753" s="116"/>
    </row>
    <row r="754" spans="1:17" s="106" customFormat="1" ht="31.5" x14ac:dyDescent="0.25">
      <c r="A754" s="268" t="s">
        <v>61</v>
      </c>
      <c r="B754" s="148" t="s">
        <v>16</v>
      </c>
      <c r="C754" s="4" t="s">
        <v>29</v>
      </c>
      <c r="D754" s="568" t="s">
        <v>424</v>
      </c>
      <c r="E754" s="220">
        <v>600</v>
      </c>
      <c r="F754" s="123">
        <f t="shared" si="223"/>
        <v>360.6</v>
      </c>
      <c r="G754" s="227">
        <f t="shared" si="223"/>
        <v>295</v>
      </c>
      <c r="H754" s="123">
        <f t="shared" si="223"/>
        <v>360.6</v>
      </c>
      <c r="I754" s="227">
        <f t="shared" si="223"/>
        <v>295</v>
      </c>
      <c r="J754" s="313">
        <f t="shared" si="223"/>
        <v>360.6</v>
      </c>
      <c r="K754" s="511">
        <f t="shared" si="202"/>
        <v>1</v>
      </c>
      <c r="L754" s="227">
        <f t="shared" si="223"/>
        <v>295</v>
      </c>
      <c r="M754" s="511">
        <f t="shared" si="203"/>
        <v>1</v>
      </c>
      <c r="N754" s="116"/>
      <c r="P754" s="116"/>
      <c r="Q754" s="116"/>
    </row>
    <row r="755" spans="1:17" s="106" customFormat="1" x14ac:dyDescent="0.25">
      <c r="A755" s="268" t="s">
        <v>62</v>
      </c>
      <c r="B755" s="148" t="s">
        <v>16</v>
      </c>
      <c r="C755" s="4" t="s">
        <v>29</v>
      </c>
      <c r="D755" s="568" t="s">
        <v>424</v>
      </c>
      <c r="E755" s="220">
        <v>610</v>
      </c>
      <c r="F755" s="123">
        <f>'ведом. 2024-2026'!AD383</f>
        <v>360.6</v>
      </c>
      <c r="G755" s="227">
        <v>295</v>
      </c>
      <c r="H755" s="123">
        <f>'ведом. 2024-2026'!AD383</f>
        <v>360.6</v>
      </c>
      <c r="I755" s="227">
        <v>295</v>
      </c>
      <c r="J755" s="313">
        <f>'ведом. 2024-2026'!AF383</f>
        <v>360.6</v>
      </c>
      <c r="K755" s="511">
        <f t="shared" si="202"/>
        <v>1</v>
      </c>
      <c r="L755" s="227">
        <f>165.2+129.8</f>
        <v>295</v>
      </c>
      <c r="M755" s="511">
        <f t="shared" si="203"/>
        <v>1</v>
      </c>
      <c r="N755" s="116"/>
      <c r="P755" s="116"/>
      <c r="Q755" s="116"/>
    </row>
    <row r="756" spans="1:17" s="106" customFormat="1" ht="31.5" x14ac:dyDescent="0.25">
      <c r="A756" s="358" t="s">
        <v>796</v>
      </c>
      <c r="B756" s="349" t="s">
        <v>16</v>
      </c>
      <c r="C756" s="350" t="s">
        <v>29</v>
      </c>
      <c r="D756" s="570" t="s">
        <v>804</v>
      </c>
      <c r="E756" s="588"/>
      <c r="F756" s="123">
        <f t="shared" ref="F756:I757" si="224">F757</f>
        <v>2398</v>
      </c>
      <c r="G756" s="123">
        <f t="shared" si="224"/>
        <v>2398</v>
      </c>
      <c r="H756" s="123">
        <f t="shared" si="224"/>
        <v>2398</v>
      </c>
      <c r="I756" s="123">
        <f t="shared" si="224"/>
        <v>2398</v>
      </c>
      <c r="J756" s="313">
        <f t="shared" ref="J756:J757" si="225">J757</f>
        <v>2398</v>
      </c>
      <c r="K756" s="511">
        <f t="shared" si="202"/>
        <v>1</v>
      </c>
      <c r="L756" s="227">
        <f>L757</f>
        <v>2398</v>
      </c>
      <c r="M756" s="511">
        <f t="shared" si="203"/>
        <v>1</v>
      </c>
      <c r="N756" s="116"/>
      <c r="P756" s="116"/>
      <c r="Q756" s="116"/>
    </row>
    <row r="757" spans="1:17" s="106" customFormat="1" ht="31.5" x14ac:dyDescent="0.25">
      <c r="A757" s="347" t="s">
        <v>61</v>
      </c>
      <c r="B757" s="349" t="s">
        <v>16</v>
      </c>
      <c r="C757" s="350" t="s">
        <v>29</v>
      </c>
      <c r="D757" s="570" t="s">
        <v>804</v>
      </c>
      <c r="E757" s="427">
        <v>600</v>
      </c>
      <c r="F757" s="123">
        <f t="shared" si="224"/>
        <v>2398</v>
      </c>
      <c r="G757" s="123">
        <f t="shared" si="224"/>
        <v>2398</v>
      </c>
      <c r="H757" s="123">
        <f t="shared" si="224"/>
        <v>2398</v>
      </c>
      <c r="I757" s="123">
        <f t="shared" si="224"/>
        <v>2398</v>
      </c>
      <c r="J757" s="313">
        <f t="shared" si="225"/>
        <v>2398</v>
      </c>
      <c r="K757" s="511">
        <f t="shared" si="202"/>
        <v>1</v>
      </c>
      <c r="L757" s="227">
        <f>L758</f>
        <v>2398</v>
      </c>
      <c r="M757" s="511">
        <f t="shared" si="203"/>
        <v>1</v>
      </c>
      <c r="N757" s="116"/>
      <c r="P757" s="116"/>
      <c r="Q757" s="116"/>
    </row>
    <row r="758" spans="1:17" s="106" customFormat="1" x14ac:dyDescent="0.25">
      <c r="A758" s="347" t="s">
        <v>62</v>
      </c>
      <c r="B758" s="349" t="s">
        <v>16</v>
      </c>
      <c r="C758" s="350" t="s">
        <v>29</v>
      </c>
      <c r="D758" s="570" t="s">
        <v>804</v>
      </c>
      <c r="E758" s="427">
        <v>610</v>
      </c>
      <c r="F758" s="123">
        <f>'ведом. 2024-2026'!AD386</f>
        <v>2398</v>
      </c>
      <c r="G758" s="227">
        <f>F758</f>
        <v>2398</v>
      </c>
      <c r="H758" s="123">
        <f>'ведом. 2024-2026'!AD386</f>
        <v>2398</v>
      </c>
      <c r="I758" s="227">
        <f>H758</f>
        <v>2398</v>
      </c>
      <c r="J758" s="313">
        <f>'ведом. 2024-2026'!AF386</f>
        <v>2398</v>
      </c>
      <c r="K758" s="511">
        <f t="shared" si="202"/>
        <v>1</v>
      </c>
      <c r="L758" s="227">
        <v>2398</v>
      </c>
      <c r="M758" s="511">
        <f t="shared" si="203"/>
        <v>1</v>
      </c>
      <c r="N758" s="116"/>
      <c r="P758" s="116"/>
      <c r="Q758" s="116"/>
    </row>
    <row r="759" spans="1:17" s="106" customFormat="1" ht="47.25" x14ac:dyDescent="0.25">
      <c r="A759" s="268" t="s">
        <v>765</v>
      </c>
      <c r="B759" s="148" t="s">
        <v>16</v>
      </c>
      <c r="C759" s="4" t="s">
        <v>29</v>
      </c>
      <c r="D759" s="211" t="s">
        <v>767</v>
      </c>
      <c r="E759" s="220"/>
      <c r="F759" s="123">
        <f>F760</f>
        <v>1180</v>
      </c>
      <c r="G759" s="123"/>
      <c r="H759" s="123">
        <f>H760</f>
        <v>1180</v>
      </c>
      <c r="I759" s="123"/>
      <c r="J759" s="313">
        <f t="shared" ref="J759" si="226">J760</f>
        <v>1119.5</v>
      </c>
      <c r="K759" s="511">
        <f t="shared" si="202"/>
        <v>0.94872881355932204</v>
      </c>
      <c r="L759" s="227"/>
      <c r="M759" s="511"/>
      <c r="N759" s="116"/>
      <c r="P759" s="116"/>
      <c r="Q759" s="116"/>
    </row>
    <row r="760" spans="1:17" s="106" customFormat="1" x14ac:dyDescent="0.25">
      <c r="A760" s="268" t="s">
        <v>766</v>
      </c>
      <c r="B760" s="148" t="s">
        <v>16</v>
      </c>
      <c r="C760" s="4" t="s">
        <v>29</v>
      </c>
      <c r="D760" s="211" t="s">
        <v>768</v>
      </c>
      <c r="E760" s="220"/>
      <c r="F760" s="123">
        <f>F761</f>
        <v>1180</v>
      </c>
      <c r="G760" s="123"/>
      <c r="H760" s="123">
        <f>H761</f>
        <v>1180</v>
      </c>
      <c r="I760" s="123"/>
      <c r="J760" s="313">
        <f t="shared" ref="J760" si="227">J761</f>
        <v>1119.5</v>
      </c>
      <c r="K760" s="511">
        <f t="shared" si="202"/>
        <v>0.94872881355932204</v>
      </c>
      <c r="L760" s="227"/>
      <c r="M760" s="511"/>
      <c r="N760" s="116"/>
      <c r="P760" s="116"/>
      <c r="Q760" s="116"/>
    </row>
    <row r="761" spans="1:17" s="106" customFormat="1" ht="31.5" x14ac:dyDescent="0.25">
      <c r="A761" s="268" t="s">
        <v>61</v>
      </c>
      <c r="B761" s="148" t="s">
        <v>16</v>
      </c>
      <c r="C761" s="4" t="s">
        <v>29</v>
      </c>
      <c r="D761" s="211" t="s">
        <v>768</v>
      </c>
      <c r="E761" s="220">
        <v>600</v>
      </c>
      <c r="F761" s="123">
        <f>F762</f>
        <v>1180</v>
      </c>
      <c r="G761" s="123"/>
      <c r="H761" s="123">
        <f>H762</f>
        <v>1180</v>
      </c>
      <c r="I761" s="123"/>
      <c r="J761" s="313">
        <f t="shared" ref="J761" si="228">J762</f>
        <v>1119.5</v>
      </c>
      <c r="K761" s="511">
        <f t="shared" si="202"/>
        <v>0.94872881355932204</v>
      </c>
      <c r="L761" s="227"/>
      <c r="M761" s="511"/>
      <c r="N761" s="116"/>
      <c r="P761" s="116"/>
      <c r="Q761" s="116"/>
    </row>
    <row r="762" spans="1:17" s="106" customFormat="1" x14ac:dyDescent="0.25">
      <c r="A762" s="268" t="s">
        <v>62</v>
      </c>
      <c r="B762" s="148" t="s">
        <v>16</v>
      </c>
      <c r="C762" s="4" t="s">
        <v>29</v>
      </c>
      <c r="D762" s="211" t="s">
        <v>768</v>
      </c>
      <c r="E762" s="220">
        <v>610</v>
      </c>
      <c r="F762" s="123">
        <f>'ведом. 2024-2026'!AD390</f>
        <v>1180</v>
      </c>
      <c r="G762" s="227"/>
      <c r="H762" s="123">
        <f>'ведом. 2024-2026'!AD390</f>
        <v>1180</v>
      </c>
      <c r="I762" s="227"/>
      <c r="J762" s="313">
        <f>'ведом. 2024-2026'!AF390</f>
        <v>1119.5</v>
      </c>
      <c r="K762" s="511">
        <f t="shared" si="202"/>
        <v>0.94872881355932204</v>
      </c>
      <c r="L762" s="227"/>
      <c r="M762" s="511"/>
      <c r="N762" s="116"/>
      <c r="P762" s="116"/>
      <c r="Q762" s="116"/>
    </row>
    <row r="763" spans="1:17" s="106" customFormat="1" x14ac:dyDescent="0.25">
      <c r="A763" s="268" t="s">
        <v>691</v>
      </c>
      <c r="B763" s="148" t="s">
        <v>16</v>
      </c>
      <c r="C763" s="4" t="s">
        <v>29</v>
      </c>
      <c r="D763" s="211" t="s">
        <v>693</v>
      </c>
      <c r="E763" s="220"/>
      <c r="F763" s="123">
        <f>F764</f>
        <v>20000</v>
      </c>
      <c r="G763" s="123">
        <f t="shared" ref="G763:J764" si="229">G764</f>
        <v>10000</v>
      </c>
      <c r="H763" s="123">
        <f>H764</f>
        <v>20000</v>
      </c>
      <c r="I763" s="123">
        <f t="shared" si="229"/>
        <v>10000</v>
      </c>
      <c r="J763" s="313">
        <f t="shared" si="229"/>
        <v>20000</v>
      </c>
      <c r="K763" s="511">
        <f t="shared" si="202"/>
        <v>1</v>
      </c>
      <c r="L763" s="227">
        <f>L764</f>
        <v>10000</v>
      </c>
      <c r="M763" s="511">
        <f t="shared" si="203"/>
        <v>1</v>
      </c>
      <c r="N763" s="116"/>
      <c r="P763" s="116"/>
      <c r="Q763" s="116"/>
    </row>
    <row r="764" spans="1:17" s="106" customFormat="1" x14ac:dyDescent="0.25">
      <c r="A764" s="268" t="s">
        <v>692</v>
      </c>
      <c r="B764" s="148" t="s">
        <v>16</v>
      </c>
      <c r="C764" s="4" t="s">
        <v>29</v>
      </c>
      <c r="D764" s="211" t="s">
        <v>694</v>
      </c>
      <c r="E764" s="220"/>
      <c r="F764" s="123">
        <f>F765</f>
        <v>20000</v>
      </c>
      <c r="G764" s="123">
        <f t="shared" si="229"/>
        <v>10000</v>
      </c>
      <c r="H764" s="123">
        <f>H765</f>
        <v>20000</v>
      </c>
      <c r="I764" s="123">
        <f t="shared" si="229"/>
        <v>10000</v>
      </c>
      <c r="J764" s="313">
        <f t="shared" si="229"/>
        <v>20000</v>
      </c>
      <c r="K764" s="511">
        <f t="shared" si="202"/>
        <v>1</v>
      </c>
      <c r="L764" s="227">
        <f>L765</f>
        <v>10000</v>
      </c>
      <c r="M764" s="511">
        <f t="shared" si="203"/>
        <v>1</v>
      </c>
      <c r="N764" s="116"/>
      <c r="P764" s="116"/>
      <c r="Q764" s="116"/>
    </row>
    <row r="765" spans="1:17" s="106" customFormat="1" ht="31.5" x14ac:dyDescent="0.25">
      <c r="A765" s="268" t="s">
        <v>61</v>
      </c>
      <c r="B765" s="148" t="s">
        <v>16</v>
      </c>
      <c r="C765" s="4" t="s">
        <v>29</v>
      </c>
      <c r="D765" s="211" t="s">
        <v>694</v>
      </c>
      <c r="E765" s="220">
        <v>600</v>
      </c>
      <c r="F765" s="123">
        <f>F766</f>
        <v>20000</v>
      </c>
      <c r="G765" s="123">
        <f>G766</f>
        <v>10000</v>
      </c>
      <c r="H765" s="123">
        <f>H766</f>
        <v>20000</v>
      </c>
      <c r="I765" s="123">
        <f>I766</f>
        <v>10000</v>
      </c>
      <c r="J765" s="313">
        <f>J766</f>
        <v>20000</v>
      </c>
      <c r="K765" s="511">
        <f t="shared" si="202"/>
        <v>1</v>
      </c>
      <c r="L765" s="227">
        <f>L766</f>
        <v>10000</v>
      </c>
      <c r="M765" s="511">
        <f t="shared" si="203"/>
        <v>1</v>
      </c>
      <c r="N765" s="116"/>
      <c r="P765" s="116"/>
      <c r="Q765" s="116"/>
    </row>
    <row r="766" spans="1:17" s="106" customFormat="1" x14ac:dyDescent="0.25">
      <c r="A766" s="268" t="s">
        <v>62</v>
      </c>
      <c r="B766" s="148" t="s">
        <v>16</v>
      </c>
      <c r="C766" s="4" t="s">
        <v>29</v>
      </c>
      <c r="D766" s="211" t="s">
        <v>694</v>
      </c>
      <c r="E766" s="220">
        <v>610</v>
      </c>
      <c r="F766" s="123">
        <f>'ведом. 2024-2026'!AD394</f>
        <v>20000</v>
      </c>
      <c r="G766" s="227">
        <v>10000</v>
      </c>
      <c r="H766" s="123">
        <f>'ведом. 2024-2026'!AD394</f>
        <v>20000</v>
      </c>
      <c r="I766" s="227">
        <v>10000</v>
      </c>
      <c r="J766" s="313">
        <f>'ведом. 2024-2026'!AF394</f>
        <v>20000</v>
      </c>
      <c r="K766" s="511">
        <f t="shared" si="202"/>
        <v>1</v>
      </c>
      <c r="L766" s="227">
        <v>10000</v>
      </c>
      <c r="M766" s="511">
        <f t="shared" si="203"/>
        <v>1</v>
      </c>
      <c r="N766" s="116"/>
      <c r="P766" s="116"/>
      <c r="Q766" s="116"/>
    </row>
    <row r="767" spans="1:17" s="106" customFormat="1" ht="31.5" x14ac:dyDescent="0.25">
      <c r="A767" s="199" t="s">
        <v>525</v>
      </c>
      <c r="B767" s="148" t="s">
        <v>16</v>
      </c>
      <c r="C767" s="4" t="s">
        <v>29</v>
      </c>
      <c r="D767" s="568" t="s">
        <v>266</v>
      </c>
      <c r="E767" s="220"/>
      <c r="F767" s="123">
        <f>F768+F778+F785+F796+F792</f>
        <v>101084.09999999999</v>
      </c>
      <c r="G767" s="123">
        <f>G768+G778+G785+G796</f>
        <v>5608.2</v>
      </c>
      <c r="H767" s="123">
        <f>H768+H778+H785+H796+H792</f>
        <v>101084.09999999999</v>
      </c>
      <c r="I767" s="123">
        <f>I768+I778+I785+I796</f>
        <v>5608.2</v>
      </c>
      <c r="J767" s="313">
        <f>J768+J778+J785+J796+J792</f>
        <v>100541.5</v>
      </c>
      <c r="K767" s="511">
        <f t="shared" si="202"/>
        <v>0.99463219240216816</v>
      </c>
      <c r="L767" s="227">
        <f t="shared" ref="L767" si="230">L768+L778+L785+L796+L792</f>
        <v>5510.5</v>
      </c>
      <c r="M767" s="511">
        <f t="shared" si="203"/>
        <v>0.98257908063193189</v>
      </c>
      <c r="N767" s="116"/>
      <c r="P767" s="116"/>
      <c r="Q767" s="116"/>
    </row>
    <row r="768" spans="1:17" s="106" customFormat="1" x14ac:dyDescent="0.25">
      <c r="A768" s="199" t="s">
        <v>370</v>
      </c>
      <c r="B768" s="148" t="s">
        <v>16</v>
      </c>
      <c r="C768" s="4" t="s">
        <v>29</v>
      </c>
      <c r="D768" s="568" t="s">
        <v>526</v>
      </c>
      <c r="E768" s="220"/>
      <c r="F768" s="123">
        <f>F769</f>
        <v>14502</v>
      </c>
      <c r="G768" s="227"/>
      <c r="H768" s="123">
        <f>H769</f>
        <v>14502</v>
      </c>
      <c r="I768" s="227"/>
      <c r="J768" s="313">
        <f>J769</f>
        <v>14072.6</v>
      </c>
      <c r="K768" s="511">
        <f t="shared" si="202"/>
        <v>0.97039029099434559</v>
      </c>
      <c r="L768" s="227"/>
      <c r="M768" s="511"/>
      <c r="N768" s="116"/>
      <c r="P768" s="116"/>
      <c r="Q768" s="116"/>
    </row>
    <row r="769" spans="1:17" s="106" customFormat="1" x14ac:dyDescent="0.25">
      <c r="A769" s="268" t="s">
        <v>267</v>
      </c>
      <c r="B769" s="148" t="s">
        <v>16</v>
      </c>
      <c r="C769" s="4" t="s">
        <v>29</v>
      </c>
      <c r="D769" s="568" t="s">
        <v>594</v>
      </c>
      <c r="E769" s="220"/>
      <c r="F769" s="123">
        <f>F770+F775</f>
        <v>14502</v>
      </c>
      <c r="G769" s="227"/>
      <c r="H769" s="123">
        <f>H770+H775</f>
        <v>14502</v>
      </c>
      <c r="I769" s="227"/>
      <c r="J769" s="313">
        <f>J770+J775</f>
        <v>14072.6</v>
      </c>
      <c r="K769" s="511">
        <f t="shared" si="202"/>
        <v>0.97039029099434559</v>
      </c>
      <c r="L769" s="227"/>
      <c r="M769" s="511"/>
      <c r="N769" s="116"/>
      <c r="P769" s="116"/>
      <c r="Q769" s="116"/>
    </row>
    <row r="770" spans="1:17" s="106" customFormat="1" ht="31.5" x14ac:dyDescent="0.25">
      <c r="A770" s="268" t="s">
        <v>268</v>
      </c>
      <c r="B770" s="148" t="s">
        <v>16</v>
      </c>
      <c r="C770" s="4" t="s">
        <v>29</v>
      </c>
      <c r="D770" s="568" t="s">
        <v>595</v>
      </c>
      <c r="E770" s="220"/>
      <c r="F770" s="123">
        <f>F773+F771</f>
        <v>14067</v>
      </c>
      <c r="G770" s="227"/>
      <c r="H770" s="123">
        <f>H773+H771</f>
        <v>14067</v>
      </c>
      <c r="I770" s="227"/>
      <c r="J770" s="313">
        <f>J773+J771</f>
        <v>13666.6</v>
      </c>
      <c r="K770" s="511">
        <f t="shared" si="202"/>
        <v>0.97153621952086444</v>
      </c>
      <c r="L770" s="227"/>
      <c r="M770" s="511"/>
      <c r="N770" s="116"/>
      <c r="P770" s="116"/>
      <c r="Q770" s="116"/>
    </row>
    <row r="771" spans="1:17" s="106" customFormat="1" x14ac:dyDescent="0.25">
      <c r="A771" s="268" t="s">
        <v>121</v>
      </c>
      <c r="B771" s="148" t="s">
        <v>16</v>
      </c>
      <c r="C771" s="4" t="s">
        <v>29</v>
      </c>
      <c r="D771" s="568" t="s">
        <v>595</v>
      </c>
      <c r="E771" s="220">
        <v>200</v>
      </c>
      <c r="F771" s="123">
        <f>F772</f>
        <v>2300</v>
      </c>
      <c r="G771" s="227"/>
      <c r="H771" s="123">
        <f>H772</f>
        <v>2300</v>
      </c>
      <c r="I771" s="227"/>
      <c r="J771" s="313">
        <f>J772</f>
        <v>2300</v>
      </c>
      <c r="K771" s="511">
        <f t="shared" si="202"/>
        <v>1</v>
      </c>
      <c r="L771" s="227"/>
      <c r="M771" s="511"/>
      <c r="N771" s="116"/>
      <c r="P771" s="116"/>
      <c r="Q771" s="116"/>
    </row>
    <row r="772" spans="1:17" s="106" customFormat="1" ht="31.5" x14ac:dyDescent="0.25">
      <c r="A772" s="268" t="s">
        <v>52</v>
      </c>
      <c r="B772" s="148" t="s">
        <v>16</v>
      </c>
      <c r="C772" s="4" t="s">
        <v>29</v>
      </c>
      <c r="D772" s="568" t="s">
        <v>595</v>
      </c>
      <c r="E772" s="220">
        <v>240</v>
      </c>
      <c r="F772" s="123">
        <f>'ведом. 2024-2026'!AD400</f>
        <v>2300</v>
      </c>
      <c r="G772" s="227"/>
      <c r="H772" s="123">
        <f>'ведом. 2024-2026'!AE400</f>
        <v>2300</v>
      </c>
      <c r="I772" s="227"/>
      <c r="J772" s="313">
        <f>'ведом. 2024-2026'!AF400</f>
        <v>2300</v>
      </c>
      <c r="K772" s="511">
        <f t="shared" si="202"/>
        <v>1</v>
      </c>
      <c r="L772" s="227"/>
      <c r="M772" s="511"/>
      <c r="N772" s="116"/>
      <c r="P772" s="116"/>
      <c r="Q772" s="116"/>
    </row>
    <row r="773" spans="1:17" s="106" customFormat="1" ht="31.5" x14ac:dyDescent="0.25">
      <c r="A773" s="268" t="s">
        <v>61</v>
      </c>
      <c r="B773" s="148" t="s">
        <v>16</v>
      </c>
      <c r="C773" s="4" t="s">
        <v>29</v>
      </c>
      <c r="D773" s="568" t="s">
        <v>595</v>
      </c>
      <c r="E773" s="220">
        <v>600</v>
      </c>
      <c r="F773" s="123">
        <f>F774</f>
        <v>11767</v>
      </c>
      <c r="G773" s="227"/>
      <c r="H773" s="123">
        <f>H774</f>
        <v>11767</v>
      </c>
      <c r="I773" s="227"/>
      <c r="J773" s="313">
        <f>J774</f>
        <v>11366.6</v>
      </c>
      <c r="K773" s="511">
        <f t="shared" si="202"/>
        <v>0.96597263533610944</v>
      </c>
      <c r="L773" s="227"/>
      <c r="M773" s="511"/>
      <c r="N773" s="116"/>
      <c r="P773" s="116"/>
      <c r="Q773" s="116"/>
    </row>
    <row r="774" spans="1:17" s="106" customFormat="1" x14ac:dyDescent="0.25">
      <c r="A774" s="268" t="s">
        <v>62</v>
      </c>
      <c r="B774" s="148" t="s">
        <v>16</v>
      </c>
      <c r="C774" s="4" t="s">
        <v>29</v>
      </c>
      <c r="D774" s="568" t="s">
        <v>595</v>
      </c>
      <c r="E774" s="220">
        <v>610</v>
      </c>
      <c r="F774" s="123">
        <f>'ведом. 2024-2026'!AD402+'ведом. 2024-2026'!AD801</f>
        <v>11767</v>
      </c>
      <c r="G774" s="227"/>
      <c r="H774" s="123">
        <f>'ведом. 2024-2026'!AE402+'ведом. 2024-2026'!AE801</f>
        <v>11767</v>
      </c>
      <c r="I774" s="227"/>
      <c r="J774" s="313">
        <f>'ведом. 2024-2026'!AF402+'ведом. 2024-2026'!AF801</f>
        <v>11366.6</v>
      </c>
      <c r="K774" s="511">
        <f t="shared" si="202"/>
        <v>0.96597263533610944</v>
      </c>
      <c r="L774" s="227"/>
      <c r="M774" s="511"/>
      <c r="N774" s="116"/>
      <c r="P774" s="116"/>
      <c r="Q774" s="116"/>
    </row>
    <row r="775" spans="1:17" s="106" customFormat="1" ht="31.5" x14ac:dyDescent="0.25">
      <c r="A775" s="268" t="s">
        <v>269</v>
      </c>
      <c r="B775" s="148" t="s">
        <v>16</v>
      </c>
      <c r="C775" s="4" t="s">
        <v>29</v>
      </c>
      <c r="D775" s="568" t="s">
        <v>596</v>
      </c>
      <c r="E775" s="220"/>
      <c r="F775" s="123">
        <f>F776</f>
        <v>435</v>
      </c>
      <c r="G775" s="227"/>
      <c r="H775" s="123">
        <f>H776</f>
        <v>435</v>
      </c>
      <c r="I775" s="227"/>
      <c r="J775" s="313">
        <f>J776</f>
        <v>406</v>
      </c>
      <c r="K775" s="511">
        <f t="shared" si="202"/>
        <v>0.93333333333333335</v>
      </c>
      <c r="L775" s="227"/>
      <c r="M775" s="511"/>
      <c r="N775" s="116"/>
      <c r="P775" s="116"/>
      <c r="Q775" s="116"/>
    </row>
    <row r="776" spans="1:17" s="106" customFormat="1" ht="31.5" x14ac:dyDescent="0.25">
      <c r="A776" s="268" t="s">
        <v>61</v>
      </c>
      <c r="B776" s="148" t="s">
        <v>16</v>
      </c>
      <c r="C776" s="4" t="s">
        <v>29</v>
      </c>
      <c r="D776" s="568" t="s">
        <v>596</v>
      </c>
      <c r="E776" s="220">
        <v>600</v>
      </c>
      <c r="F776" s="123">
        <f>F777</f>
        <v>435</v>
      </c>
      <c r="G776" s="227"/>
      <c r="H776" s="123">
        <f>H777</f>
        <v>435</v>
      </c>
      <c r="I776" s="227"/>
      <c r="J776" s="313">
        <f>J777</f>
        <v>406</v>
      </c>
      <c r="K776" s="511">
        <f t="shared" si="202"/>
        <v>0.93333333333333335</v>
      </c>
      <c r="L776" s="227"/>
      <c r="M776" s="511"/>
      <c r="N776" s="116"/>
      <c r="P776" s="116"/>
      <c r="Q776" s="116"/>
    </row>
    <row r="777" spans="1:17" s="106" customFormat="1" x14ac:dyDescent="0.25">
      <c r="A777" s="268" t="s">
        <v>62</v>
      </c>
      <c r="B777" s="148" t="s">
        <v>16</v>
      </c>
      <c r="C777" s="4" t="s">
        <v>29</v>
      </c>
      <c r="D777" s="568" t="s">
        <v>596</v>
      </c>
      <c r="E777" s="220">
        <v>610</v>
      </c>
      <c r="F777" s="123">
        <f>'ведом. 2024-2026'!AD405</f>
        <v>435</v>
      </c>
      <c r="G777" s="227"/>
      <c r="H777" s="123">
        <f>'ведом. 2024-2026'!AE405</f>
        <v>435</v>
      </c>
      <c r="I777" s="227"/>
      <c r="J777" s="313">
        <f>'ведом. 2024-2026'!AF405</f>
        <v>406</v>
      </c>
      <c r="K777" s="511">
        <f t="shared" si="202"/>
        <v>0.93333333333333335</v>
      </c>
      <c r="L777" s="227"/>
      <c r="M777" s="511"/>
      <c r="N777" s="116"/>
      <c r="P777" s="116"/>
      <c r="Q777" s="116"/>
    </row>
    <row r="778" spans="1:17" s="106" customFormat="1" ht="31.5" x14ac:dyDescent="0.25">
      <c r="A778" s="200" t="s">
        <v>371</v>
      </c>
      <c r="B778" s="148" t="s">
        <v>16</v>
      </c>
      <c r="C778" s="4" t="s">
        <v>29</v>
      </c>
      <c r="D778" s="568" t="s">
        <v>527</v>
      </c>
      <c r="E778" s="220"/>
      <c r="F778" s="123">
        <f>F779+F782</f>
        <v>76503</v>
      </c>
      <c r="G778" s="227"/>
      <c r="H778" s="123">
        <f>H779+H782</f>
        <v>76503</v>
      </c>
      <c r="I778" s="227"/>
      <c r="J778" s="313">
        <f>J779+J782</f>
        <v>76487.5</v>
      </c>
      <c r="K778" s="511">
        <f t="shared" si="202"/>
        <v>0.9997973935662654</v>
      </c>
      <c r="L778" s="227"/>
      <c r="M778" s="511"/>
      <c r="N778" s="116"/>
      <c r="P778" s="116"/>
      <c r="Q778" s="116"/>
    </row>
    <row r="779" spans="1:17" s="156" customFormat="1" ht="47.25" x14ac:dyDescent="0.25">
      <c r="A779" s="231" t="str">
        <f>'ведом. 2024-2026'!X407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79" s="158" t="str">
        <f>'ведом. 2024-2026'!Z407</f>
        <v>08</v>
      </c>
      <c r="C779" s="157" t="str">
        <f>'ведом. 2024-2026'!AA407</f>
        <v>01</v>
      </c>
      <c r="D779" s="568" t="s">
        <v>528</v>
      </c>
      <c r="E779" s="605"/>
      <c r="F779" s="154">
        <f t="shared" ref="F779:J780" si="231">F780</f>
        <v>38762.699999999997</v>
      </c>
      <c r="G779" s="247"/>
      <c r="H779" s="154">
        <f t="shared" si="231"/>
        <v>38762.699999999997</v>
      </c>
      <c r="I779" s="247"/>
      <c r="J779" s="506">
        <f t="shared" si="231"/>
        <v>38747.1</v>
      </c>
      <c r="K779" s="511">
        <f t="shared" si="202"/>
        <v>0.9995975512541696</v>
      </c>
      <c r="L779" s="247"/>
      <c r="M779" s="511"/>
      <c r="N779" s="155"/>
      <c r="P779" s="155"/>
      <c r="Q779" s="155"/>
    </row>
    <row r="780" spans="1:17" s="156" customFormat="1" ht="31.5" x14ac:dyDescent="0.25">
      <c r="A780" s="231" t="str">
        <f>'ведом. 2024-2026'!X408</f>
        <v>Предоставление субсидий бюджетным, автономным учреждениям и иным некоммерческим организациям</v>
      </c>
      <c r="B780" s="158" t="str">
        <f>'ведом. 2024-2026'!Z408</f>
        <v>08</v>
      </c>
      <c r="C780" s="157" t="str">
        <f>'ведом. 2024-2026'!AA408</f>
        <v>01</v>
      </c>
      <c r="D780" s="568" t="s">
        <v>528</v>
      </c>
      <c r="E780" s="605">
        <f>'ведом. 2024-2026'!AC408</f>
        <v>600</v>
      </c>
      <c r="F780" s="154">
        <f t="shared" si="231"/>
        <v>38762.699999999997</v>
      </c>
      <c r="G780" s="247"/>
      <c r="H780" s="154">
        <f t="shared" si="231"/>
        <v>38762.699999999997</v>
      </c>
      <c r="I780" s="247"/>
      <c r="J780" s="506">
        <f t="shared" si="231"/>
        <v>38747.1</v>
      </c>
      <c r="K780" s="511">
        <f t="shared" ref="K780:K843" si="232">J780/H780</f>
        <v>0.9995975512541696</v>
      </c>
      <c r="L780" s="247"/>
      <c r="M780" s="511"/>
      <c r="N780" s="155"/>
      <c r="P780" s="155"/>
      <c r="Q780" s="155"/>
    </row>
    <row r="781" spans="1:17" s="156" customFormat="1" x14ac:dyDescent="0.25">
      <c r="A781" s="231" t="str">
        <f>'ведом. 2024-2026'!X409</f>
        <v>Субсидии бюджетным учреждениям</v>
      </c>
      <c r="B781" s="158" t="str">
        <f>'ведом. 2024-2026'!Z409</f>
        <v>08</v>
      </c>
      <c r="C781" s="157" t="str">
        <f>'ведом. 2024-2026'!AA409</f>
        <v>01</v>
      </c>
      <c r="D781" s="568" t="s">
        <v>528</v>
      </c>
      <c r="E781" s="605">
        <f>'ведом. 2024-2026'!AC409</f>
        <v>610</v>
      </c>
      <c r="F781" s="154">
        <f>'ведом. 2024-2026'!AD409</f>
        <v>38762.699999999997</v>
      </c>
      <c r="G781" s="247"/>
      <c r="H781" s="154">
        <f>'ведом. 2024-2026'!AE409</f>
        <v>38762.699999999997</v>
      </c>
      <c r="I781" s="247"/>
      <c r="J781" s="506">
        <f>'ведом. 2024-2026'!AF409</f>
        <v>38747.1</v>
      </c>
      <c r="K781" s="511">
        <f t="shared" si="232"/>
        <v>0.9995975512541696</v>
      </c>
      <c r="L781" s="247"/>
      <c r="M781" s="511"/>
      <c r="N781" s="155"/>
      <c r="P781" s="155"/>
      <c r="Q781" s="155"/>
    </row>
    <row r="782" spans="1:17" s="156" customFormat="1" ht="47.25" x14ac:dyDescent="0.25">
      <c r="A782" s="231" t="str">
        <f>'ведом. 2024-2026'!X410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2" s="158" t="str">
        <f>'ведом. 2024-2026'!Z410</f>
        <v>08</v>
      </c>
      <c r="C782" s="157" t="str">
        <f>'ведом. 2024-2026'!AA410</f>
        <v>01</v>
      </c>
      <c r="D782" s="568" t="s">
        <v>529</v>
      </c>
      <c r="E782" s="605"/>
      <c r="F782" s="154">
        <f>F783</f>
        <v>37740.300000000003</v>
      </c>
      <c r="G782" s="247"/>
      <c r="H782" s="154">
        <f>H783</f>
        <v>37740.300000000003</v>
      </c>
      <c r="I782" s="247"/>
      <c r="J782" s="506">
        <f>J783</f>
        <v>37740.400000000001</v>
      </c>
      <c r="K782" s="511">
        <f t="shared" si="232"/>
        <v>1.0000026496874692</v>
      </c>
      <c r="L782" s="247"/>
      <c r="M782" s="511"/>
      <c r="N782" s="155"/>
      <c r="P782" s="155"/>
      <c r="Q782" s="155"/>
    </row>
    <row r="783" spans="1:17" s="156" customFormat="1" ht="31.5" x14ac:dyDescent="0.25">
      <c r="A783" s="231" t="str">
        <f>'ведом. 2024-2026'!X411</f>
        <v>Предоставление субсидий бюджетным, автономным учреждениям и иным некоммерческим организациям</v>
      </c>
      <c r="B783" s="158" t="str">
        <f>'ведом. 2024-2026'!Z411</f>
        <v>08</v>
      </c>
      <c r="C783" s="157" t="str">
        <f>'ведом. 2024-2026'!AA411</f>
        <v>01</v>
      </c>
      <c r="D783" s="568" t="s">
        <v>529</v>
      </c>
      <c r="E783" s="605">
        <f>'ведом. 2024-2026'!AC411</f>
        <v>600</v>
      </c>
      <c r="F783" s="154">
        <f>F784</f>
        <v>37740.300000000003</v>
      </c>
      <c r="G783" s="247"/>
      <c r="H783" s="154">
        <f>H784</f>
        <v>37740.300000000003</v>
      </c>
      <c r="I783" s="247"/>
      <c r="J783" s="506">
        <f>J784</f>
        <v>37740.400000000001</v>
      </c>
      <c r="K783" s="511">
        <f t="shared" si="232"/>
        <v>1.0000026496874692</v>
      </c>
      <c r="L783" s="247"/>
      <c r="M783" s="511"/>
      <c r="N783" s="155"/>
      <c r="P783" s="155"/>
      <c r="Q783" s="155"/>
    </row>
    <row r="784" spans="1:17" s="156" customFormat="1" x14ac:dyDescent="0.25">
      <c r="A784" s="231" t="str">
        <f>'ведом. 2024-2026'!X412</f>
        <v>Субсидии бюджетным учреждениям</v>
      </c>
      <c r="B784" s="158" t="str">
        <f>'ведом. 2024-2026'!Z412</f>
        <v>08</v>
      </c>
      <c r="C784" s="157" t="str">
        <f>'ведом. 2024-2026'!AA412</f>
        <v>01</v>
      </c>
      <c r="D784" s="568" t="s">
        <v>529</v>
      </c>
      <c r="E784" s="605">
        <f>'ведом. 2024-2026'!AC412</f>
        <v>610</v>
      </c>
      <c r="F784" s="154">
        <f>'ведом. 2024-2026'!AD412</f>
        <v>37740.300000000003</v>
      </c>
      <c r="G784" s="247"/>
      <c r="H784" s="154">
        <f>'ведом. 2024-2026'!AE412</f>
        <v>37740.300000000003</v>
      </c>
      <c r="I784" s="247"/>
      <c r="J784" s="506">
        <f>'ведом. 2024-2026'!AF412</f>
        <v>37740.400000000001</v>
      </c>
      <c r="K784" s="511">
        <f t="shared" si="232"/>
        <v>1.0000026496874692</v>
      </c>
      <c r="L784" s="247"/>
      <c r="M784" s="511"/>
      <c r="N784" s="155"/>
      <c r="P784" s="155"/>
      <c r="Q784" s="155"/>
    </row>
    <row r="785" spans="1:17" s="156" customFormat="1" ht="47.25" x14ac:dyDescent="0.25">
      <c r="A785" s="197" t="s">
        <v>725</v>
      </c>
      <c r="B785" s="1" t="s">
        <v>16</v>
      </c>
      <c r="C785" s="4" t="s">
        <v>29</v>
      </c>
      <c r="D785" s="211" t="s">
        <v>726</v>
      </c>
      <c r="E785" s="220"/>
      <c r="F785" s="154">
        <f>F786+F789</f>
        <v>4310.8999999999996</v>
      </c>
      <c r="G785" s="154"/>
      <c r="H785" s="154">
        <f>H786+H789</f>
        <v>4310.8999999999996</v>
      </c>
      <c r="I785" s="154"/>
      <c r="J785" s="506">
        <f>J786+J789</f>
        <v>4310.8999999999996</v>
      </c>
      <c r="K785" s="511">
        <f t="shared" si="232"/>
        <v>1</v>
      </c>
      <c r="L785" s="247"/>
      <c r="M785" s="511"/>
      <c r="N785" s="155"/>
      <c r="P785" s="155"/>
      <c r="Q785" s="155"/>
    </row>
    <row r="786" spans="1:17" s="156" customFormat="1" ht="31.5" x14ac:dyDescent="0.25">
      <c r="A786" s="197" t="s">
        <v>727</v>
      </c>
      <c r="B786" s="1" t="s">
        <v>16</v>
      </c>
      <c r="C786" s="4" t="s">
        <v>29</v>
      </c>
      <c r="D786" s="211" t="s">
        <v>728</v>
      </c>
      <c r="E786" s="220"/>
      <c r="F786" s="154">
        <f>F787</f>
        <v>4257</v>
      </c>
      <c r="G786" s="154"/>
      <c r="H786" s="154">
        <f>H787</f>
        <v>4257</v>
      </c>
      <c r="I786" s="154"/>
      <c r="J786" s="506">
        <f t="shared" ref="J786:J787" si="233">J787</f>
        <v>4257</v>
      </c>
      <c r="K786" s="511">
        <f t="shared" si="232"/>
        <v>1</v>
      </c>
      <c r="L786" s="247"/>
      <c r="M786" s="511"/>
      <c r="N786" s="155"/>
      <c r="P786" s="155"/>
      <c r="Q786" s="155"/>
    </row>
    <row r="787" spans="1:17" s="156" customFormat="1" ht="31.5" x14ac:dyDescent="0.25">
      <c r="A787" s="197" t="s">
        <v>61</v>
      </c>
      <c r="B787" s="1" t="s">
        <v>16</v>
      </c>
      <c r="C787" s="4" t="s">
        <v>29</v>
      </c>
      <c r="D787" s="211" t="s">
        <v>728</v>
      </c>
      <c r="E787" s="220">
        <v>600</v>
      </c>
      <c r="F787" s="154">
        <f>F788</f>
        <v>4257</v>
      </c>
      <c r="G787" s="154"/>
      <c r="H787" s="154">
        <f>H788</f>
        <v>4257</v>
      </c>
      <c r="I787" s="154"/>
      <c r="J787" s="506">
        <f t="shared" si="233"/>
        <v>4257</v>
      </c>
      <c r="K787" s="511">
        <f t="shared" si="232"/>
        <v>1</v>
      </c>
      <c r="L787" s="247"/>
      <c r="M787" s="511"/>
      <c r="N787" s="155"/>
      <c r="P787" s="155"/>
      <c r="Q787" s="155"/>
    </row>
    <row r="788" spans="1:17" s="156" customFormat="1" x14ac:dyDescent="0.25">
      <c r="A788" s="197" t="s">
        <v>62</v>
      </c>
      <c r="B788" s="1" t="s">
        <v>16</v>
      </c>
      <c r="C788" s="4" t="s">
        <v>29</v>
      </c>
      <c r="D788" s="211" t="s">
        <v>728</v>
      </c>
      <c r="E788" s="220">
        <v>610</v>
      </c>
      <c r="F788" s="154">
        <f>'ведом. 2024-2026'!AD416</f>
        <v>4257</v>
      </c>
      <c r="G788" s="247"/>
      <c r="H788" s="154">
        <f>'ведом. 2024-2026'!AE416</f>
        <v>4257</v>
      </c>
      <c r="I788" s="247"/>
      <c r="J788" s="506">
        <f>'ведом. 2024-2026'!AF416</f>
        <v>4257</v>
      </c>
      <c r="K788" s="511">
        <f t="shared" si="232"/>
        <v>1</v>
      </c>
      <c r="L788" s="247"/>
      <c r="M788" s="511"/>
      <c r="N788" s="155"/>
      <c r="P788" s="155"/>
      <c r="Q788" s="155"/>
    </row>
    <row r="789" spans="1:17" s="156" customFormat="1" ht="31.5" x14ac:dyDescent="0.25">
      <c r="A789" s="197" t="s">
        <v>764</v>
      </c>
      <c r="B789" s="16" t="s">
        <v>16</v>
      </c>
      <c r="C789" s="146" t="s">
        <v>29</v>
      </c>
      <c r="D789" s="211" t="s">
        <v>763</v>
      </c>
      <c r="E789" s="220"/>
      <c r="F789" s="154">
        <f>F790</f>
        <v>53.9</v>
      </c>
      <c r="G789" s="154"/>
      <c r="H789" s="154">
        <f>H790</f>
        <v>53.9</v>
      </c>
      <c r="I789" s="154"/>
      <c r="J789" s="506">
        <f t="shared" ref="J789" si="234">J790</f>
        <v>53.9</v>
      </c>
      <c r="K789" s="511">
        <f t="shared" si="232"/>
        <v>1</v>
      </c>
      <c r="L789" s="247"/>
      <c r="M789" s="511"/>
      <c r="N789" s="155"/>
      <c r="P789" s="155"/>
      <c r="Q789" s="155"/>
    </row>
    <row r="790" spans="1:17" s="156" customFormat="1" ht="31.5" x14ac:dyDescent="0.25">
      <c r="A790" s="197" t="s">
        <v>61</v>
      </c>
      <c r="B790" s="16" t="s">
        <v>16</v>
      </c>
      <c r="C790" s="146" t="s">
        <v>29</v>
      </c>
      <c r="D790" s="211" t="s">
        <v>763</v>
      </c>
      <c r="E790" s="220">
        <v>600</v>
      </c>
      <c r="F790" s="154">
        <f>F791</f>
        <v>53.9</v>
      </c>
      <c r="G790" s="154"/>
      <c r="H790" s="154">
        <f>H791</f>
        <v>53.9</v>
      </c>
      <c r="I790" s="154"/>
      <c r="J790" s="506">
        <f t="shared" ref="J790" si="235">J791</f>
        <v>53.9</v>
      </c>
      <c r="K790" s="511">
        <f t="shared" si="232"/>
        <v>1</v>
      </c>
      <c r="L790" s="247"/>
      <c r="M790" s="511"/>
      <c r="N790" s="155"/>
      <c r="P790" s="155"/>
      <c r="Q790" s="155"/>
    </row>
    <row r="791" spans="1:17" s="156" customFormat="1" x14ac:dyDescent="0.25">
      <c r="A791" s="197" t="s">
        <v>62</v>
      </c>
      <c r="B791" s="16" t="s">
        <v>16</v>
      </c>
      <c r="C791" s="146" t="s">
        <v>29</v>
      </c>
      <c r="D791" s="211" t="s">
        <v>763</v>
      </c>
      <c r="E791" s="220">
        <v>610</v>
      </c>
      <c r="F791" s="154">
        <f>'ведом. 2024-2026'!AD419</f>
        <v>53.9</v>
      </c>
      <c r="G791" s="247"/>
      <c r="H791" s="154">
        <f>'ведом. 2024-2026'!AE419</f>
        <v>53.9</v>
      </c>
      <c r="I791" s="247"/>
      <c r="J791" s="506">
        <f>'ведом. 2024-2026'!AF419</f>
        <v>53.9</v>
      </c>
      <c r="K791" s="511">
        <f t="shared" si="232"/>
        <v>1</v>
      </c>
      <c r="L791" s="247"/>
      <c r="M791" s="511"/>
      <c r="N791" s="155"/>
      <c r="P791" s="155"/>
      <c r="Q791" s="155"/>
    </row>
    <row r="792" spans="1:17" s="156" customFormat="1" ht="31.5" x14ac:dyDescent="0.25">
      <c r="A792" s="197" t="s">
        <v>756</v>
      </c>
      <c r="B792" s="1" t="s">
        <v>16</v>
      </c>
      <c r="C792" s="4" t="s">
        <v>29</v>
      </c>
      <c r="D792" s="211" t="s">
        <v>758</v>
      </c>
      <c r="E792" s="220"/>
      <c r="F792" s="154">
        <f>F793</f>
        <v>160</v>
      </c>
      <c r="G792" s="154"/>
      <c r="H792" s="154">
        <f>H793</f>
        <v>160</v>
      </c>
      <c r="I792" s="154"/>
      <c r="J792" s="506">
        <f t="shared" ref="J792" si="236">J793</f>
        <v>160</v>
      </c>
      <c r="K792" s="511">
        <f t="shared" si="232"/>
        <v>1</v>
      </c>
      <c r="L792" s="247"/>
      <c r="M792" s="511"/>
      <c r="N792" s="155"/>
      <c r="P792" s="155"/>
      <c r="Q792" s="155"/>
    </row>
    <row r="793" spans="1:17" s="156" customFormat="1" ht="31.5" x14ac:dyDescent="0.25">
      <c r="A793" s="197" t="s">
        <v>757</v>
      </c>
      <c r="B793" s="1" t="s">
        <v>16</v>
      </c>
      <c r="C793" s="4" t="s">
        <v>29</v>
      </c>
      <c r="D793" s="211" t="s">
        <v>759</v>
      </c>
      <c r="E793" s="220"/>
      <c r="F793" s="154">
        <f>F794</f>
        <v>160</v>
      </c>
      <c r="G793" s="154"/>
      <c r="H793" s="154">
        <f>H794</f>
        <v>160</v>
      </c>
      <c r="I793" s="154"/>
      <c r="J793" s="506">
        <f t="shared" ref="J793" si="237">J794</f>
        <v>160</v>
      </c>
      <c r="K793" s="511">
        <f t="shared" si="232"/>
        <v>1</v>
      </c>
      <c r="L793" s="247"/>
      <c r="M793" s="511"/>
      <c r="N793" s="155"/>
      <c r="P793" s="155"/>
      <c r="Q793" s="155"/>
    </row>
    <row r="794" spans="1:17" s="156" customFormat="1" ht="31.5" x14ac:dyDescent="0.25">
      <c r="A794" s="197" t="s">
        <v>61</v>
      </c>
      <c r="B794" s="1" t="s">
        <v>16</v>
      </c>
      <c r="C794" s="4" t="s">
        <v>29</v>
      </c>
      <c r="D794" s="211" t="s">
        <v>759</v>
      </c>
      <c r="E794" s="220">
        <v>600</v>
      </c>
      <c r="F794" s="154">
        <f>F795</f>
        <v>160</v>
      </c>
      <c r="G794" s="154"/>
      <c r="H794" s="154">
        <f>H795</f>
        <v>160</v>
      </c>
      <c r="I794" s="154"/>
      <c r="J794" s="506">
        <f t="shared" ref="J794" si="238">J795</f>
        <v>160</v>
      </c>
      <c r="K794" s="511">
        <f t="shared" si="232"/>
        <v>1</v>
      </c>
      <c r="L794" s="247"/>
      <c r="M794" s="511"/>
      <c r="N794" s="155"/>
      <c r="P794" s="155"/>
      <c r="Q794" s="155"/>
    </row>
    <row r="795" spans="1:17" s="156" customFormat="1" x14ac:dyDescent="0.25">
      <c r="A795" s="197" t="s">
        <v>62</v>
      </c>
      <c r="B795" s="1" t="s">
        <v>16</v>
      </c>
      <c r="C795" s="4" t="s">
        <v>29</v>
      </c>
      <c r="D795" s="211" t="s">
        <v>759</v>
      </c>
      <c r="E795" s="220">
        <v>610</v>
      </c>
      <c r="F795" s="154">
        <f>'ведом. 2024-2026'!AD423</f>
        <v>160</v>
      </c>
      <c r="G795" s="247"/>
      <c r="H795" s="154">
        <f>'ведом. 2024-2026'!AE423</f>
        <v>160</v>
      </c>
      <c r="I795" s="247"/>
      <c r="J795" s="506">
        <f>'ведом. 2024-2026'!AF423</f>
        <v>160</v>
      </c>
      <c r="K795" s="511">
        <f t="shared" si="232"/>
        <v>1</v>
      </c>
      <c r="L795" s="247"/>
      <c r="M795" s="511"/>
      <c r="N795" s="155"/>
      <c r="P795" s="155"/>
      <c r="Q795" s="155"/>
    </row>
    <row r="796" spans="1:17" s="156" customFormat="1" ht="31.5" x14ac:dyDescent="0.25">
      <c r="A796" s="197" t="s">
        <v>734</v>
      </c>
      <c r="B796" s="1" t="s">
        <v>16</v>
      </c>
      <c r="C796" s="4" t="s">
        <v>29</v>
      </c>
      <c r="D796" s="211" t="s">
        <v>735</v>
      </c>
      <c r="E796" s="220"/>
      <c r="F796" s="154">
        <f>F797+F800</f>
        <v>5608.2</v>
      </c>
      <c r="G796" s="154">
        <f t="shared" ref="G796:L796" si="239">G797+G800</f>
        <v>5608.2</v>
      </c>
      <c r="H796" s="154">
        <f>H797+H800</f>
        <v>5608.2</v>
      </c>
      <c r="I796" s="154">
        <f t="shared" ref="I796" si="240">I797+I800</f>
        <v>5608.2</v>
      </c>
      <c r="J796" s="506">
        <f t="shared" si="239"/>
        <v>5510.5</v>
      </c>
      <c r="K796" s="511">
        <f t="shared" si="232"/>
        <v>0.98257908063193189</v>
      </c>
      <c r="L796" s="247">
        <f t="shared" si="239"/>
        <v>5510.5</v>
      </c>
      <c r="M796" s="511">
        <f t="shared" ref="M796:M843" si="241">L796/I796</f>
        <v>0.98257908063193189</v>
      </c>
      <c r="N796" s="155"/>
      <c r="P796" s="155"/>
      <c r="Q796" s="155"/>
    </row>
    <row r="797" spans="1:17" s="156" customFormat="1" ht="31.5" x14ac:dyDescent="0.25">
      <c r="A797" s="347" t="s">
        <v>796</v>
      </c>
      <c r="B797" s="349" t="s">
        <v>16</v>
      </c>
      <c r="C797" s="350" t="s">
        <v>29</v>
      </c>
      <c r="D797" s="570" t="s">
        <v>802</v>
      </c>
      <c r="E797" s="588"/>
      <c r="F797" s="154">
        <f>F798</f>
        <v>4396</v>
      </c>
      <c r="G797" s="154">
        <f t="shared" ref="G797:J798" si="242">G798</f>
        <v>4396</v>
      </c>
      <c r="H797" s="154">
        <f>H798</f>
        <v>4396</v>
      </c>
      <c r="I797" s="154">
        <f t="shared" si="242"/>
        <v>4396</v>
      </c>
      <c r="J797" s="506">
        <f t="shared" si="242"/>
        <v>4396</v>
      </c>
      <c r="K797" s="511">
        <f t="shared" si="232"/>
        <v>1</v>
      </c>
      <c r="L797" s="247">
        <f>L798</f>
        <v>4396</v>
      </c>
      <c r="M797" s="511">
        <f t="shared" si="241"/>
        <v>1</v>
      </c>
      <c r="N797" s="155"/>
      <c r="P797" s="155"/>
      <c r="Q797" s="155"/>
    </row>
    <row r="798" spans="1:17" s="156" customFormat="1" ht="31.5" x14ac:dyDescent="0.25">
      <c r="A798" s="402" t="s">
        <v>61</v>
      </c>
      <c r="B798" s="349" t="s">
        <v>16</v>
      </c>
      <c r="C798" s="350" t="s">
        <v>29</v>
      </c>
      <c r="D798" s="570" t="s">
        <v>802</v>
      </c>
      <c r="E798" s="588">
        <v>600</v>
      </c>
      <c r="F798" s="154">
        <f>F799</f>
        <v>4396</v>
      </c>
      <c r="G798" s="154">
        <f t="shared" si="242"/>
        <v>4396</v>
      </c>
      <c r="H798" s="154">
        <f>H799</f>
        <v>4396</v>
      </c>
      <c r="I798" s="154">
        <f t="shared" si="242"/>
        <v>4396</v>
      </c>
      <c r="J798" s="506">
        <f t="shared" si="242"/>
        <v>4396</v>
      </c>
      <c r="K798" s="511">
        <f t="shared" si="232"/>
        <v>1</v>
      </c>
      <c r="L798" s="247">
        <f>L799</f>
        <v>4396</v>
      </c>
      <c r="M798" s="511">
        <f t="shared" si="241"/>
        <v>1</v>
      </c>
      <c r="N798" s="155"/>
      <c r="P798" s="155"/>
      <c r="Q798" s="155"/>
    </row>
    <row r="799" spans="1:17" s="156" customFormat="1" x14ac:dyDescent="0.25">
      <c r="A799" s="347" t="s">
        <v>62</v>
      </c>
      <c r="B799" s="349" t="s">
        <v>16</v>
      </c>
      <c r="C799" s="350" t="s">
        <v>29</v>
      </c>
      <c r="D799" s="570" t="s">
        <v>802</v>
      </c>
      <c r="E799" s="588">
        <v>610</v>
      </c>
      <c r="F799" s="154">
        <f>'ведом. 2024-2026'!AD427</f>
        <v>4396</v>
      </c>
      <c r="G799" s="154">
        <f>F799</f>
        <v>4396</v>
      </c>
      <c r="H799" s="154">
        <f>'ведом. 2024-2026'!AE427</f>
        <v>4396</v>
      </c>
      <c r="I799" s="154">
        <f>H799</f>
        <v>4396</v>
      </c>
      <c r="J799" s="506">
        <f>'ведом. 2024-2026'!AF427</f>
        <v>4396</v>
      </c>
      <c r="K799" s="511">
        <f t="shared" si="232"/>
        <v>1</v>
      </c>
      <c r="L799" s="247">
        <f>4396</f>
        <v>4396</v>
      </c>
      <c r="M799" s="511">
        <f t="shared" si="241"/>
        <v>1</v>
      </c>
      <c r="N799" s="155"/>
      <c r="P799" s="155"/>
      <c r="Q799" s="155"/>
    </row>
    <row r="800" spans="1:17" s="156" customFormat="1" ht="39.75" customHeight="1" x14ac:dyDescent="0.25">
      <c r="A800" s="197" t="s">
        <v>736</v>
      </c>
      <c r="B800" s="1" t="s">
        <v>16</v>
      </c>
      <c r="C800" s="4" t="s">
        <v>29</v>
      </c>
      <c r="D800" s="211" t="s">
        <v>737</v>
      </c>
      <c r="E800" s="220"/>
      <c r="F800" s="154">
        <f>F801</f>
        <v>1212.2</v>
      </c>
      <c r="G800" s="154">
        <f t="shared" ref="G800:L801" si="243">G801</f>
        <v>1212.2</v>
      </c>
      <c r="H800" s="154">
        <f>H801</f>
        <v>1212.2</v>
      </c>
      <c r="I800" s="154">
        <f t="shared" si="243"/>
        <v>1212.2</v>
      </c>
      <c r="J800" s="506">
        <f t="shared" si="243"/>
        <v>1114.5</v>
      </c>
      <c r="K800" s="511">
        <f t="shared" si="232"/>
        <v>0.91940273882197654</v>
      </c>
      <c r="L800" s="247">
        <f t="shared" si="243"/>
        <v>1114.5</v>
      </c>
      <c r="M800" s="511">
        <f t="shared" si="241"/>
        <v>0.91940273882197654</v>
      </c>
      <c r="N800" s="155"/>
      <c r="P800" s="155"/>
      <c r="Q800" s="155"/>
    </row>
    <row r="801" spans="1:17" s="156" customFormat="1" ht="31.5" x14ac:dyDescent="0.25">
      <c r="A801" s="197" t="s">
        <v>61</v>
      </c>
      <c r="B801" s="1" t="s">
        <v>16</v>
      </c>
      <c r="C801" s="4" t="s">
        <v>29</v>
      </c>
      <c r="D801" s="211" t="s">
        <v>737</v>
      </c>
      <c r="E801" s="220">
        <v>600</v>
      </c>
      <c r="F801" s="154">
        <f>F802</f>
        <v>1212.2</v>
      </c>
      <c r="G801" s="154">
        <f t="shared" si="243"/>
        <v>1212.2</v>
      </c>
      <c r="H801" s="154">
        <f>H802</f>
        <v>1212.2</v>
      </c>
      <c r="I801" s="154">
        <f t="shared" si="243"/>
        <v>1212.2</v>
      </c>
      <c r="J801" s="506">
        <f t="shared" si="243"/>
        <v>1114.5</v>
      </c>
      <c r="K801" s="511">
        <f t="shared" si="232"/>
        <v>0.91940273882197654</v>
      </c>
      <c r="L801" s="247">
        <f t="shared" si="243"/>
        <v>1114.5</v>
      </c>
      <c r="M801" s="511">
        <f t="shared" si="241"/>
        <v>0.91940273882197654</v>
      </c>
      <c r="N801" s="155"/>
      <c r="P801" s="155"/>
      <c r="Q801" s="155"/>
    </row>
    <row r="802" spans="1:17" s="156" customFormat="1" x14ac:dyDescent="0.25">
      <c r="A802" s="197" t="s">
        <v>62</v>
      </c>
      <c r="B802" s="1" t="s">
        <v>16</v>
      </c>
      <c r="C802" s="4" t="s">
        <v>29</v>
      </c>
      <c r="D802" s="211" t="s">
        <v>737</v>
      </c>
      <c r="E802" s="220">
        <v>610</v>
      </c>
      <c r="F802" s="154">
        <f>'ведом. 2024-2026'!AD430</f>
        <v>1212.2</v>
      </c>
      <c r="G802" s="247">
        <f>F802</f>
        <v>1212.2</v>
      </c>
      <c r="H802" s="154">
        <f>'ведом. 2024-2026'!AE430</f>
        <v>1212.2</v>
      </c>
      <c r="I802" s="247">
        <f>H802</f>
        <v>1212.2</v>
      </c>
      <c r="J802" s="506">
        <f>'ведом. 2024-2026'!AF430</f>
        <v>1114.5</v>
      </c>
      <c r="K802" s="511">
        <f t="shared" si="232"/>
        <v>0.91940273882197654</v>
      </c>
      <c r="L802" s="247">
        <f>J802</f>
        <v>1114.5</v>
      </c>
      <c r="M802" s="511">
        <f t="shared" si="241"/>
        <v>0.91940273882197654</v>
      </c>
      <c r="N802" s="155"/>
      <c r="P802" s="155"/>
      <c r="Q802" s="155"/>
    </row>
    <row r="803" spans="1:17" s="156" customFormat="1" x14ac:dyDescent="0.25">
      <c r="A803" s="198" t="s">
        <v>740</v>
      </c>
      <c r="B803" s="513" t="s">
        <v>22</v>
      </c>
      <c r="C803" s="145"/>
      <c r="D803" s="583"/>
      <c r="E803" s="598"/>
      <c r="F803" s="514">
        <f t="shared" ref="F803:H809" si="244">F804</f>
        <v>60</v>
      </c>
      <c r="G803" s="514"/>
      <c r="H803" s="514">
        <f t="shared" si="244"/>
        <v>60</v>
      </c>
      <c r="I803" s="514"/>
      <c r="J803" s="515">
        <f t="shared" ref="J803:J808" si="245">J804</f>
        <v>60</v>
      </c>
      <c r="K803" s="512">
        <f t="shared" si="232"/>
        <v>1</v>
      </c>
      <c r="L803" s="518"/>
      <c r="M803" s="511"/>
      <c r="N803" s="155"/>
      <c r="P803" s="155"/>
      <c r="Q803" s="155"/>
    </row>
    <row r="804" spans="1:17" s="156" customFormat="1" x14ac:dyDescent="0.25">
      <c r="A804" s="197" t="s">
        <v>741</v>
      </c>
      <c r="B804" s="1" t="s">
        <v>22</v>
      </c>
      <c r="C804" s="4" t="s">
        <v>22</v>
      </c>
      <c r="D804" s="211"/>
      <c r="E804" s="220"/>
      <c r="F804" s="154">
        <f t="shared" si="244"/>
        <v>60</v>
      </c>
      <c r="G804" s="154"/>
      <c r="H804" s="154">
        <f t="shared" si="244"/>
        <v>60</v>
      </c>
      <c r="I804" s="154"/>
      <c r="J804" s="506">
        <f t="shared" si="245"/>
        <v>60</v>
      </c>
      <c r="K804" s="511">
        <f t="shared" si="232"/>
        <v>1</v>
      </c>
      <c r="L804" s="247"/>
      <c r="M804" s="511"/>
      <c r="N804" s="155"/>
      <c r="P804" s="155"/>
      <c r="Q804" s="155"/>
    </row>
    <row r="805" spans="1:17" s="156" customFormat="1" x14ac:dyDescent="0.25">
      <c r="A805" s="197" t="s">
        <v>738</v>
      </c>
      <c r="B805" s="1" t="s">
        <v>22</v>
      </c>
      <c r="C805" s="4" t="s">
        <v>22</v>
      </c>
      <c r="D805" s="211" t="s">
        <v>742</v>
      </c>
      <c r="E805" s="220"/>
      <c r="F805" s="154">
        <f t="shared" si="244"/>
        <v>60</v>
      </c>
      <c r="G805" s="154"/>
      <c r="H805" s="154">
        <f t="shared" si="244"/>
        <v>60</v>
      </c>
      <c r="I805" s="154"/>
      <c r="J805" s="506">
        <f t="shared" si="245"/>
        <v>60</v>
      </c>
      <c r="K805" s="511">
        <f t="shared" si="232"/>
        <v>1</v>
      </c>
      <c r="L805" s="247"/>
      <c r="M805" s="511"/>
      <c r="N805" s="155"/>
      <c r="P805" s="155"/>
      <c r="Q805" s="155"/>
    </row>
    <row r="806" spans="1:17" s="156" customFormat="1" x14ac:dyDescent="0.25">
      <c r="A806" s="197" t="s">
        <v>739</v>
      </c>
      <c r="B806" s="1" t="s">
        <v>22</v>
      </c>
      <c r="C806" s="4" t="s">
        <v>22</v>
      </c>
      <c r="D806" s="211" t="s">
        <v>743</v>
      </c>
      <c r="E806" s="220"/>
      <c r="F806" s="154">
        <f t="shared" si="244"/>
        <v>60</v>
      </c>
      <c r="G806" s="154"/>
      <c r="H806" s="154">
        <f t="shared" si="244"/>
        <v>60</v>
      </c>
      <c r="I806" s="154"/>
      <c r="J806" s="506">
        <f t="shared" si="245"/>
        <v>60</v>
      </c>
      <c r="K806" s="511">
        <f t="shared" si="232"/>
        <v>1</v>
      </c>
      <c r="L806" s="247"/>
      <c r="M806" s="511"/>
      <c r="N806" s="155"/>
      <c r="P806" s="155"/>
      <c r="Q806" s="155"/>
    </row>
    <row r="807" spans="1:17" s="156" customFormat="1" ht="31.5" x14ac:dyDescent="0.25">
      <c r="A807" s="197" t="s">
        <v>746</v>
      </c>
      <c r="B807" s="1" t="s">
        <v>22</v>
      </c>
      <c r="C807" s="4" t="s">
        <v>22</v>
      </c>
      <c r="D807" s="211" t="s">
        <v>745</v>
      </c>
      <c r="E807" s="220"/>
      <c r="F807" s="154">
        <f t="shared" si="244"/>
        <v>60</v>
      </c>
      <c r="G807" s="154"/>
      <c r="H807" s="154">
        <f t="shared" si="244"/>
        <v>60</v>
      </c>
      <c r="I807" s="154"/>
      <c r="J807" s="506">
        <f t="shared" si="245"/>
        <v>60</v>
      </c>
      <c r="K807" s="511">
        <f t="shared" si="232"/>
        <v>1</v>
      </c>
      <c r="L807" s="247"/>
      <c r="M807" s="511"/>
      <c r="N807" s="155"/>
      <c r="P807" s="155"/>
      <c r="Q807" s="155"/>
    </row>
    <row r="808" spans="1:17" s="156" customFormat="1" ht="47.25" x14ac:dyDescent="0.25">
      <c r="A808" s="197" t="s">
        <v>744</v>
      </c>
      <c r="B808" s="1" t="s">
        <v>22</v>
      </c>
      <c r="C808" s="4" t="s">
        <v>22</v>
      </c>
      <c r="D808" s="211" t="s">
        <v>747</v>
      </c>
      <c r="E808" s="220"/>
      <c r="F808" s="154">
        <f t="shared" si="244"/>
        <v>60</v>
      </c>
      <c r="G808" s="154"/>
      <c r="H808" s="154">
        <f t="shared" si="244"/>
        <v>60</v>
      </c>
      <c r="I808" s="154"/>
      <c r="J808" s="506">
        <f t="shared" si="245"/>
        <v>60</v>
      </c>
      <c r="K808" s="511">
        <f t="shared" si="232"/>
        <v>1</v>
      </c>
      <c r="L808" s="247"/>
      <c r="M808" s="511"/>
      <c r="N808" s="155"/>
      <c r="P808" s="155"/>
      <c r="Q808" s="155"/>
    </row>
    <row r="809" spans="1:17" s="156" customFormat="1" x14ac:dyDescent="0.25">
      <c r="A809" s="310" t="s">
        <v>98</v>
      </c>
      <c r="B809" s="1" t="s">
        <v>22</v>
      </c>
      <c r="C809" s="4" t="s">
        <v>22</v>
      </c>
      <c r="D809" s="211" t="s">
        <v>747</v>
      </c>
      <c r="E809" s="220">
        <v>300</v>
      </c>
      <c r="F809" s="154">
        <f t="shared" si="244"/>
        <v>60</v>
      </c>
      <c r="G809" s="154"/>
      <c r="H809" s="154">
        <f t="shared" si="244"/>
        <v>60</v>
      </c>
      <c r="I809" s="154"/>
      <c r="J809" s="506">
        <f>J810</f>
        <v>60</v>
      </c>
      <c r="K809" s="511">
        <f t="shared" si="232"/>
        <v>1</v>
      </c>
      <c r="L809" s="247"/>
      <c r="M809" s="511"/>
      <c r="N809" s="155"/>
      <c r="P809" s="155"/>
      <c r="Q809" s="155"/>
    </row>
    <row r="810" spans="1:17" s="156" customFormat="1" x14ac:dyDescent="0.25">
      <c r="A810" s="310" t="s">
        <v>40</v>
      </c>
      <c r="B810" s="1" t="s">
        <v>22</v>
      </c>
      <c r="C810" s="4" t="s">
        <v>22</v>
      </c>
      <c r="D810" s="211" t="s">
        <v>747</v>
      </c>
      <c r="E810" s="220">
        <v>320</v>
      </c>
      <c r="F810" s="154">
        <f>'ведом. 2024-2026'!AD438</f>
        <v>60</v>
      </c>
      <c r="G810" s="247"/>
      <c r="H810" s="154">
        <f>'ведом. 2024-2026'!AD438</f>
        <v>60</v>
      </c>
      <c r="I810" s="247"/>
      <c r="J810" s="506">
        <f>'ведом. 2024-2026'!AF438</f>
        <v>60</v>
      </c>
      <c r="K810" s="511">
        <f t="shared" si="232"/>
        <v>1</v>
      </c>
      <c r="L810" s="247"/>
      <c r="M810" s="511"/>
      <c r="N810" s="155"/>
      <c r="P810" s="155"/>
      <c r="Q810" s="155"/>
    </row>
    <row r="811" spans="1:17" s="106" customFormat="1" x14ac:dyDescent="0.25">
      <c r="A811" s="277" t="s">
        <v>95</v>
      </c>
      <c r="B811" s="150" t="s">
        <v>36</v>
      </c>
      <c r="C811" s="140"/>
      <c r="D811" s="534"/>
      <c r="E811" s="592"/>
      <c r="F811" s="125">
        <f t="shared" ref="F811:L811" si="246">F812+F824+F852+F819</f>
        <v>95474.3</v>
      </c>
      <c r="G811" s="242">
        <f t="shared" si="246"/>
        <v>72214</v>
      </c>
      <c r="H811" s="125">
        <f t="shared" ref="H811:I811" si="247">H812+H824+H852+H819</f>
        <v>95474.5</v>
      </c>
      <c r="I811" s="242">
        <f t="shared" si="247"/>
        <v>72214</v>
      </c>
      <c r="J811" s="502">
        <f t="shared" si="246"/>
        <v>93061.2</v>
      </c>
      <c r="K811" s="512">
        <f t="shared" si="232"/>
        <v>0.97472309360090914</v>
      </c>
      <c r="L811" s="242">
        <f t="shared" si="246"/>
        <v>69801.2</v>
      </c>
      <c r="M811" s="512">
        <f t="shared" si="241"/>
        <v>0.96658819619464365</v>
      </c>
      <c r="N811" s="116"/>
      <c r="P811" s="116"/>
      <c r="Q811" s="116"/>
    </row>
    <row r="812" spans="1:17" s="106" customFormat="1" x14ac:dyDescent="0.25">
      <c r="A812" s="268" t="s">
        <v>56</v>
      </c>
      <c r="B812" s="148">
        <v>10</v>
      </c>
      <c r="C812" s="4" t="s">
        <v>29</v>
      </c>
      <c r="D812" s="458"/>
      <c r="E812" s="598"/>
      <c r="F812" s="123">
        <f>F813</f>
        <v>7998</v>
      </c>
      <c r="G812" s="227"/>
      <c r="H812" s="123">
        <f>H813</f>
        <v>7998.1999999999989</v>
      </c>
      <c r="I812" s="227"/>
      <c r="J812" s="313">
        <f>J813</f>
        <v>7997.7000000000007</v>
      </c>
      <c r="K812" s="511">
        <f t="shared" si="232"/>
        <v>0.9999374859343354</v>
      </c>
      <c r="L812" s="227"/>
      <c r="M812" s="511"/>
      <c r="N812" s="116"/>
      <c r="P812" s="116"/>
      <c r="Q812" s="116"/>
    </row>
    <row r="813" spans="1:17" s="106" customFormat="1" x14ac:dyDescent="0.25">
      <c r="A813" s="199" t="s">
        <v>300</v>
      </c>
      <c r="B813" s="148">
        <v>10</v>
      </c>
      <c r="C813" s="4" t="s">
        <v>29</v>
      </c>
      <c r="D813" s="568" t="s">
        <v>110</v>
      </c>
      <c r="E813" s="598"/>
      <c r="F813" s="123">
        <f>F815</f>
        <v>7998</v>
      </c>
      <c r="G813" s="227"/>
      <c r="H813" s="123">
        <f>H815</f>
        <v>7998.1999999999989</v>
      </c>
      <c r="I813" s="227"/>
      <c r="J813" s="313">
        <f>J815</f>
        <v>7997.7000000000007</v>
      </c>
      <c r="K813" s="511">
        <f t="shared" si="232"/>
        <v>0.9999374859343354</v>
      </c>
      <c r="L813" s="227"/>
      <c r="M813" s="511"/>
      <c r="N813" s="116"/>
      <c r="P813" s="116"/>
      <c r="Q813" s="116"/>
    </row>
    <row r="814" spans="1:17" s="106" customFormat="1" x14ac:dyDescent="0.25">
      <c r="A814" s="217" t="s">
        <v>301</v>
      </c>
      <c r="B814" s="148">
        <v>10</v>
      </c>
      <c r="C814" s="4" t="s">
        <v>29</v>
      </c>
      <c r="D814" s="568" t="s">
        <v>119</v>
      </c>
      <c r="E814" s="598"/>
      <c r="F814" s="123">
        <f>F815</f>
        <v>7998</v>
      </c>
      <c r="G814" s="227"/>
      <c r="H814" s="123">
        <f>H815</f>
        <v>7998.1999999999989</v>
      </c>
      <c r="I814" s="227"/>
      <c r="J814" s="313">
        <f>J815</f>
        <v>7997.7000000000007</v>
      </c>
      <c r="K814" s="511">
        <f t="shared" si="232"/>
        <v>0.9999374859343354</v>
      </c>
      <c r="L814" s="227"/>
      <c r="M814" s="511"/>
      <c r="N814" s="116"/>
      <c r="P814" s="116"/>
      <c r="Q814" s="116"/>
    </row>
    <row r="815" spans="1:17" s="106" customFormat="1" ht="31.5" x14ac:dyDescent="0.25">
      <c r="A815" s="202" t="s">
        <v>498</v>
      </c>
      <c r="B815" s="148">
        <v>10</v>
      </c>
      <c r="C815" s="4" t="s">
        <v>29</v>
      </c>
      <c r="D815" s="568" t="s">
        <v>497</v>
      </c>
      <c r="E815" s="598"/>
      <c r="F815" s="123">
        <f>F818</f>
        <v>7998</v>
      </c>
      <c r="G815" s="227"/>
      <c r="H815" s="123">
        <f>H818</f>
        <v>7998.1999999999989</v>
      </c>
      <c r="I815" s="227"/>
      <c r="J815" s="313">
        <f>J818</f>
        <v>7997.7000000000007</v>
      </c>
      <c r="K815" s="511">
        <f t="shared" si="232"/>
        <v>0.9999374859343354</v>
      </c>
      <c r="L815" s="227"/>
      <c r="M815" s="511"/>
      <c r="N815" s="116"/>
      <c r="P815" s="116"/>
      <c r="Q815" s="116"/>
    </row>
    <row r="816" spans="1:17" s="106" customFormat="1" ht="31.5" x14ac:dyDescent="0.25">
      <c r="A816" s="201" t="s">
        <v>303</v>
      </c>
      <c r="B816" s="148">
        <v>10</v>
      </c>
      <c r="C816" s="4" t="s">
        <v>29</v>
      </c>
      <c r="D816" s="568" t="s">
        <v>496</v>
      </c>
      <c r="E816" s="598"/>
      <c r="F816" s="123">
        <f>F817</f>
        <v>7998</v>
      </c>
      <c r="G816" s="227"/>
      <c r="H816" s="123">
        <f>H817</f>
        <v>7998.1999999999989</v>
      </c>
      <c r="I816" s="227"/>
      <c r="J816" s="313">
        <f>J817</f>
        <v>7997.7000000000007</v>
      </c>
      <c r="K816" s="511">
        <f t="shared" si="232"/>
        <v>0.9999374859343354</v>
      </c>
      <c r="L816" s="227"/>
      <c r="M816" s="511"/>
      <c r="N816" s="116"/>
      <c r="P816" s="116"/>
      <c r="Q816" s="116"/>
    </row>
    <row r="817" spans="1:17" s="106" customFormat="1" x14ac:dyDescent="0.25">
      <c r="A817" s="268" t="s">
        <v>98</v>
      </c>
      <c r="B817" s="148">
        <v>10</v>
      </c>
      <c r="C817" s="4" t="s">
        <v>29</v>
      </c>
      <c r="D817" s="568" t="s">
        <v>496</v>
      </c>
      <c r="E817" s="220">
        <v>300</v>
      </c>
      <c r="F817" s="123">
        <f>F818</f>
        <v>7998</v>
      </c>
      <c r="G817" s="227"/>
      <c r="H817" s="123">
        <f>H818</f>
        <v>7998.1999999999989</v>
      </c>
      <c r="I817" s="227"/>
      <c r="J817" s="313">
        <f>J818</f>
        <v>7997.7000000000007</v>
      </c>
      <c r="K817" s="511">
        <f t="shared" si="232"/>
        <v>0.9999374859343354</v>
      </c>
      <c r="L817" s="227"/>
      <c r="M817" s="511"/>
      <c r="N817" s="116"/>
      <c r="P817" s="116"/>
      <c r="Q817" s="116"/>
    </row>
    <row r="818" spans="1:17" s="106" customFormat="1" x14ac:dyDescent="0.25">
      <c r="A818" s="268" t="s">
        <v>40</v>
      </c>
      <c r="B818" s="148">
        <v>10</v>
      </c>
      <c r="C818" s="4" t="s">
        <v>29</v>
      </c>
      <c r="D818" s="568" t="s">
        <v>496</v>
      </c>
      <c r="E818" s="220">
        <v>320</v>
      </c>
      <c r="F818" s="123">
        <f>'ведом. 2024-2026'!AD446+'ведом. 2024-2026'!AD525+'ведом. 2024-2026'!AD566+'ведом. 2024-2026'!AD612+'ведом. 2024-2026'!AD809+'ведом. 2024-2026'!AD1013+'ведом. 2024-2026'!AD1048</f>
        <v>7998</v>
      </c>
      <c r="G818" s="227"/>
      <c r="H818" s="123">
        <f>'ведом. 2024-2026'!AE446+'ведом. 2024-2026'!AE525+'ведом. 2024-2026'!AE566+'ведом. 2024-2026'!AE612+'ведом. 2024-2026'!AE809+'ведом. 2024-2026'!AE1013+'ведом. 2024-2026'!AE1048</f>
        <v>7998.1999999999989</v>
      </c>
      <c r="I818" s="227"/>
      <c r="J818" s="313">
        <f>'ведом. 2024-2026'!AF1048+'ведом. 2024-2026'!AF1013+'ведом. 2024-2026'!AF809+'ведом. 2024-2026'!AF612+'ведом. 2024-2026'!AF566+'ведом. 2024-2026'!AF525+'ведом. 2024-2026'!AF446</f>
        <v>7997.7000000000007</v>
      </c>
      <c r="K818" s="511">
        <f t="shared" si="232"/>
        <v>0.9999374859343354</v>
      </c>
      <c r="L818" s="227"/>
      <c r="M818" s="511"/>
      <c r="N818" s="116"/>
      <c r="P818" s="116"/>
      <c r="Q818" s="116"/>
    </row>
    <row r="819" spans="1:17" s="106" customFormat="1" x14ac:dyDescent="0.25">
      <c r="A819" s="197" t="s">
        <v>59</v>
      </c>
      <c r="B819" s="148">
        <v>10</v>
      </c>
      <c r="C819" s="4" t="s">
        <v>7</v>
      </c>
      <c r="D819" s="568"/>
      <c r="E819" s="220"/>
      <c r="F819" s="123">
        <f>F820</f>
        <v>1168</v>
      </c>
      <c r="G819" s="123"/>
      <c r="H819" s="123">
        <f>H820</f>
        <v>1168</v>
      </c>
      <c r="I819" s="123"/>
      <c r="J819" s="313">
        <f>J820</f>
        <v>1168</v>
      </c>
      <c r="K819" s="511">
        <f t="shared" si="232"/>
        <v>1</v>
      </c>
      <c r="L819" s="227"/>
      <c r="M819" s="511"/>
      <c r="N819" s="116"/>
      <c r="P819" s="116"/>
      <c r="Q819" s="116"/>
    </row>
    <row r="820" spans="1:17" s="106" customFormat="1" x14ac:dyDescent="0.25">
      <c r="A820" s="310" t="s">
        <v>344</v>
      </c>
      <c r="B820" s="1">
        <v>10</v>
      </c>
      <c r="C820" s="1" t="s">
        <v>7</v>
      </c>
      <c r="D820" s="584" t="s">
        <v>138</v>
      </c>
      <c r="E820" s="222"/>
      <c r="F820" s="123">
        <f>F821</f>
        <v>1168</v>
      </c>
      <c r="G820" s="123"/>
      <c r="H820" s="123">
        <f>H821</f>
        <v>1168</v>
      </c>
      <c r="I820" s="123"/>
      <c r="J820" s="313">
        <f t="shared" ref="J820:J822" si="248">J821</f>
        <v>1168</v>
      </c>
      <c r="K820" s="511">
        <f t="shared" si="232"/>
        <v>1</v>
      </c>
      <c r="L820" s="227"/>
      <c r="M820" s="511"/>
      <c r="N820" s="116"/>
      <c r="P820" s="116"/>
      <c r="Q820" s="116"/>
    </row>
    <row r="821" spans="1:17" s="106" customFormat="1" x14ac:dyDescent="0.25">
      <c r="A821" s="312" t="s">
        <v>666</v>
      </c>
      <c r="B821" s="1">
        <v>10</v>
      </c>
      <c r="C821" s="1" t="s">
        <v>7</v>
      </c>
      <c r="D821" s="581" t="s">
        <v>665</v>
      </c>
      <c r="E821" s="222"/>
      <c r="F821" s="123">
        <f>F822</f>
        <v>1168</v>
      </c>
      <c r="G821" s="123"/>
      <c r="H821" s="123">
        <f>H822</f>
        <v>1168</v>
      </c>
      <c r="I821" s="123"/>
      <c r="J821" s="313">
        <f t="shared" si="248"/>
        <v>1168</v>
      </c>
      <c r="K821" s="511">
        <f t="shared" si="232"/>
        <v>1</v>
      </c>
      <c r="L821" s="227"/>
      <c r="M821" s="511"/>
      <c r="N821" s="116"/>
      <c r="P821" s="116"/>
      <c r="Q821" s="116"/>
    </row>
    <row r="822" spans="1:17" s="106" customFormat="1" x14ac:dyDescent="0.25">
      <c r="A822" s="310" t="s">
        <v>98</v>
      </c>
      <c r="B822" s="1">
        <v>10</v>
      </c>
      <c r="C822" s="1" t="s">
        <v>7</v>
      </c>
      <c r="D822" s="581" t="s">
        <v>665</v>
      </c>
      <c r="E822" s="220">
        <v>300</v>
      </c>
      <c r="F822" s="123">
        <f>F823</f>
        <v>1168</v>
      </c>
      <c r="G822" s="123"/>
      <c r="H822" s="123">
        <f>H823</f>
        <v>1168</v>
      </c>
      <c r="I822" s="123"/>
      <c r="J822" s="313">
        <f t="shared" si="248"/>
        <v>1168</v>
      </c>
      <c r="K822" s="511">
        <f t="shared" si="232"/>
        <v>1</v>
      </c>
      <c r="L822" s="227"/>
      <c r="M822" s="511"/>
      <c r="N822" s="116"/>
      <c r="P822" s="116"/>
      <c r="Q822" s="116"/>
    </row>
    <row r="823" spans="1:17" s="106" customFormat="1" x14ac:dyDescent="0.25">
      <c r="A823" s="216" t="s">
        <v>40</v>
      </c>
      <c r="B823" s="1">
        <v>10</v>
      </c>
      <c r="C823" s="1" t="s">
        <v>7</v>
      </c>
      <c r="D823" s="581" t="s">
        <v>665</v>
      </c>
      <c r="E823" s="220">
        <v>320</v>
      </c>
      <c r="F823" s="123">
        <f>'ведом. 2024-2026'!AD451</f>
        <v>1168</v>
      </c>
      <c r="G823" s="227"/>
      <c r="H823" s="123">
        <f>'ведом. 2024-2026'!AE451</f>
        <v>1168</v>
      </c>
      <c r="I823" s="227"/>
      <c r="J823" s="313">
        <f>'ведом. 2024-2026'!AF451</f>
        <v>1168</v>
      </c>
      <c r="K823" s="511">
        <f t="shared" si="232"/>
        <v>1</v>
      </c>
      <c r="L823" s="227"/>
      <c r="M823" s="511"/>
      <c r="N823" s="116"/>
      <c r="P823" s="116"/>
      <c r="Q823" s="116"/>
    </row>
    <row r="824" spans="1:17" s="106" customFormat="1" x14ac:dyDescent="0.25">
      <c r="A824" s="268" t="s">
        <v>31</v>
      </c>
      <c r="B824" s="148">
        <v>10</v>
      </c>
      <c r="C824" s="4" t="s">
        <v>48</v>
      </c>
      <c r="D824" s="458"/>
      <c r="E824" s="220"/>
      <c r="F824" s="123">
        <f t="shared" ref="F824:L824" si="249">F825+F835</f>
        <v>86168.3</v>
      </c>
      <c r="G824" s="227">
        <f t="shared" si="249"/>
        <v>72214</v>
      </c>
      <c r="H824" s="123">
        <f t="shared" ref="H824:I824" si="250">H825+H835</f>
        <v>86168.3</v>
      </c>
      <c r="I824" s="227">
        <f t="shared" si="250"/>
        <v>72214</v>
      </c>
      <c r="J824" s="313">
        <f t="shared" si="249"/>
        <v>83755.5</v>
      </c>
      <c r="K824" s="511">
        <f t="shared" si="232"/>
        <v>0.97199898338484103</v>
      </c>
      <c r="L824" s="227">
        <f t="shared" si="249"/>
        <v>69801.2</v>
      </c>
      <c r="M824" s="511">
        <f t="shared" si="241"/>
        <v>0.96658819619464365</v>
      </c>
      <c r="N824" s="116"/>
      <c r="P824" s="116"/>
      <c r="Q824" s="116"/>
    </row>
    <row r="825" spans="1:17" s="106" customFormat="1" x14ac:dyDescent="0.25">
      <c r="A825" s="278" t="s">
        <v>270</v>
      </c>
      <c r="B825" s="148">
        <v>10</v>
      </c>
      <c r="C825" s="4" t="s">
        <v>48</v>
      </c>
      <c r="D825" s="458" t="s">
        <v>101</v>
      </c>
      <c r="E825" s="220"/>
      <c r="F825" s="123">
        <f t="shared" ref="F825:L825" si="251">F826</f>
        <v>16359</v>
      </c>
      <c r="G825" s="227">
        <f t="shared" si="251"/>
        <v>16359</v>
      </c>
      <c r="H825" s="123">
        <f t="shared" si="251"/>
        <v>16359</v>
      </c>
      <c r="I825" s="227">
        <f t="shared" si="251"/>
        <v>16359</v>
      </c>
      <c r="J825" s="313">
        <f t="shared" si="251"/>
        <v>13948.2</v>
      </c>
      <c r="K825" s="511">
        <f t="shared" si="232"/>
        <v>0.85263157894736852</v>
      </c>
      <c r="L825" s="227">
        <f t="shared" si="251"/>
        <v>13948.2</v>
      </c>
      <c r="M825" s="511">
        <f t="shared" si="241"/>
        <v>0.85263157894736852</v>
      </c>
      <c r="N825" s="116"/>
      <c r="P825" s="116"/>
      <c r="Q825" s="116"/>
    </row>
    <row r="826" spans="1:17" s="106" customFormat="1" x14ac:dyDescent="0.25">
      <c r="A826" s="199" t="s">
        <v>477</v>
      </c>
      <c r="B826" s="148">
        <v>10</v>
      </c>
      <c r="C826" s="4" t="s">
        <v>48</v>
      </c>
      <c r="D826" s="458" t="s">
        <v>118</v>
      </c>
      <c r="E826" s="220"/>
      <c r="F826" s="123">
        <f t="shared" ref="F826:L827" si="252">F827</f>
        <v>16359</v>
      </c>
      <c r="G826" s="227">
        <f t="shared" si="252"/>
        <v>16359</v>
      </c>
      <c r="H826" s="123">
        <f t="shared" si="252"/>
        <v>16359</v>
      </c>
      <c r="I826" s="227">
        <f t="shared" si="252"/>
        <v>16359</v>
      </c>
      <c r="J826" s="313">
        <f t="shared" si="252"/>
        <v>13948.2</v>
      </c>
      <c r="K826" s="511">
        <f t="shared" si="232"/>
        <v>0.85263157894736852</v>
      </c>
      <c r="L826" s="227">
        <f>L827</f>
        <v>13948.2</v>
      </c>
      <c r="M826" s="511">
        <f t="shared" si="241"/>
        <v>0.85263157894736852</v>
      </c>
      <c r="N826" s="116"/>
      <c r="P826" s="116"/>
      <c r="Q826" s="116"/>
    </row>
    <row r="827" spans="1:17" s="106" customFormat="1" ht="21" customHeight="1" x14ac:dyDescent="0.25">
      <c r="A827" s="199" t="s">
        <v>274</v>
      </c>
      <c r="B827" s="148">
        <v>10</v>
      </c>
      <c r="C827" s="4" t="s">
        <v>48</v>
      </c>
      <c r="D827" s="568" t="s">
        <v>478</v>
      </c>
      <c r="E827" s="220"/>
      <c r="F827" s="123">
        <f t="shared" si="252"/>
        <v>16359</v>
      </c>
      <c r="G827" s="227">
        <f t="shared" si="252"/>
        <v>16359</v>
      </c>
      <c r="H827" s="123">
        <f t="shared" si="252"/>
        <v>16359</v>
      </c>
      <c r="I827" s="227">
        <f t="shared" si="252"/>
        <v>16359</v>
      </c>
      <c r="J827" s="313">
        <f t="shared" si="252"/>
        <v>13948.2</v>
      </c>
      <c r="K827" s="511">
        <f t="shared" si="232"/>
        <v>0.85263157894736852</v>
      </c>
      <c r="L827" s="227">
        <f t="shared" si="252"/>
        <v>13948.2</v>
      </c>
      <c r="M827" s="511">
        <f t="shared" si="241"/>
        <v>0.85263157894736852</v>
      </c>
      <c r="N827" s="116"/>
      <c r="P827" s="116"/>
      <c r="Q827" s="116"/>
    </row>
    <row r="828" spans="1:17" s="106" customFormat="1" ht="47.25" x14ac:dyDescent="0.25">
      <c r="A828" s="200" t="s">
        <v>271</v>
      </c>
      <c r="B828" s="148">
        <v>10</v>
      </c>
      <c r="C828" s="4" t="s">
        <v>48</v>
      </c>
      <c r="D828" s="568" t="s">
        <v>499</v>
      </c>
      <c r="E828" s="220"/>
      <c r="F828" s="123">
        <f t="shared" ref="F828:L828" si="253">F831+F829+F833</f>
        <v>16359</v>
      </c>
      <c r="G828" s="227">
        <f t="shared" si="253"/>
        <v>16359</v>
      </c>
      <c r="H828" s="123">
        <f t="shared" ref="H828:I828" si="254">H831+H829+H833</f>
        <v>16359</v>
      </c>
      <c r="I828" s="227">
        <f t="shared" si="254"/>
        <v>16359</v>
      </c>
      <c r="J828" s="313">
        <f t="shared" si="253"/>
        <v>13948.2</v>
      </c>
      <c r="K828" s="511">
        <f t="shared" si="232"/>
        <v>0.85263157894736852</v>
      </c>
      <c r="L828" s="227">
        <f t="shared" si="253"/>
        <v>13948.2</v>
      </c>
      <c r="M828" s="511">
        <f t="shared" si="241"/>
        <v>0.85263157894736852</v>
      </c>
      <c r="N828" s="116"/>
      <c r="P828" s="116"/>
      <c r="Q828" s="116"/>
    </row>
    <row r="829" spans="1:17" s="106" customFormat="1" x14ac:dyDescent="0.25">
      <c r="A829" s="268" t="s">
        <v>121</v>
      </c>
      <c r="B829" s="148">
        <v>10</v>
      </c>
      <c r="C829" s="4" t="s">
        <v>48</v>
      </c>
      <c r="D829" s="568" t="s">
        <v>499</v>
      </c>
      <c r="E829" s="220">
        <v>200</v>
      </c>
      <c r="F829" s="123">
        <f t="shared" ref="F829:L829" si="255">F830</f>
        <v>154</v>
      </c>
      <c r="G829" s="227">
        <f t="shared" si="255"/>
        <v>154</v>
      </c>
      <c r="H829" s="123">
        <f t="shared" si="255"/>
        <v>154</v>
      </c>
      <c r="I829" s="227">
        <f t="shared" si="255"/>
        <v>154</v>
      </c>
      <c r="J829" s="313">
        <f t="shared" si="255"/>
        <v>60.1</v>
      </c>
      <c r="K829" s="511">
        <f t="shared" si="232"/>
        <v>0.39025974025974025</v>
      </c>
      <c r="L829" s="227">
        <f t="shared" si="255"/>
        <v>60.1</v>
      </c>
      <c r="M829" s="511">
        <f t="shared" si="241"/>
        <v>0.39025974025974025</v>
      </c>
      <c r="N829" s="116"/>
      <c r="P829" s="116"/>
      <c r="Q829" s="116"/>
    </row>
    <row r="830" spans="1:17" s="106" customFormat="1" ht="20.25" customHeight="1" x14ac:dyDescent="0.25">
      <c r="A830" s="268" t="s">
        <v>52</v>
      </c>
      <c r="B830" s="148">
        <v>10</v>
      </c>
      <c r="C830" s="4" t="s">
        <v>48</v>
      </c>
      <c r="D830" s="568" t="s">
        <v>499</v>
      </c>
      <c r="E830" s="220">
        <v>240</v>
      </c>
      <c r="F830" s="123">
        <f>'ведом. 2024-2026'!AD816</f>
        <v>154</v>
      </c>
      <c r="G830" s="227">
        <f>F830</f>
        <v>154</v>
      </c>
      <c r="H830" s="123">
        <f>'ведом. 2024-2026'!AE816</f>
        <v>154</v>
      </c>
      <c r="I830" s="227">
        <f>H830</f>
        <v>154</v>
      </c>
      <c r="J830" s="313">
        <f>'ведом. 2024-2026'!AF816</f>
        <v>60.1</v>
      </c>
      <c r="K830" s="511">
        <f t="shared" si="232"/>
        <v>0.39025974025974025</v>
      </c>
      <c r="L830" s="227">
        <f>J830</f>
        <v>60.1</v>
      </c>
      <c r="M830" s="511">
        <f t="shared" si="241"/>
        <v>0.39025974025974025</v>
      </c>
      <c r="N830" s="116"/>
      <c r="P830" s="116"/>
      <c r="Q830" s="116"/>
    </row>
    <row r="831" spans="1:17" s="106" customFormat="1" x14ac:dyDescent="0.25">
      <c r="A831" s="268" t="s">
        <v>98</v>
      </c>
      <c r="B831" s="148">
        <v>10</v>
      </c>
      <c r="C831" s="4" t="s">
        <v>48</v>
      </c>
      <c r="D831" s="568" t="s">
        <v>499</v>
      </c>
      <c r="E831" s="220">
        <v>300</v>
      </c>
      <c r="F831" s="123">
        <f t="shared" ref="F831:L831" si="256">F832</f>
        <v>15389</v>
      </c>
      <c r="G831" s="227">
        <f t="shared" si="256"/>
        <v>15389</v>
      </c>
      <c r="H831" s="123">
        <f t="shared" si="256"/>
        <v>15389</v>
      </c>
      <c r="I831" s="227">
        <f t="shared" si="256"/>
        <v>15389</v>
      </c>
      <c r="J831" s="313">
        <f t="shared" si="256"/>
        <v>13072.1</v>
      </c>
      <c r="K831" s="511">
        <f t="shared" si="232"/>
        <v>0.84944440834362211</v>
      </c>
      <c r="L831" s="227">
        <f t="shared" si="256"/>
        <v>13072.1</v>
      </c>
      <c r="M831" s="511">
        <f t="shared" si="241"/>
        <v>0.84944440834362211</v>
      </c>
      <c r="N831" s="116"/>
      <c r="P831" s="116"/>
      <c r="Q831" s="116"/>
    </row>
    <row r="832" spans="1:17" s="106" customFormat="1" x14ac:dyDescent="0.25">
      <c r="A832" s="268" t="s">
        <v>131</v>
      </c>
      <c r="B832" s="148">
        <v>10</v>
      </c>
      <c r="C832" s="4" t="s">
        <v>48</v>
      </c>
      <c r="D832" s="568" t="s">
        <v>499</v>
      </c>
      <c r="E832" s="220">
        <v>310</v>
      </c>
      <c r="F832" s="123">
        <f>'ведом. 2024-2026'!AD818</f>
        <v>15389</v>
      </c>
      <c r="G832" s="227">
        <f>F832</f>
        <v>15389</v>
      </c>
      <c r="H832" s="123">
        <f>'ведом. 2024-2026'!AE818</f>
        <v>15389</v>
      </c>
      <c r="I832" s="227">
        <f>H832</f>
        <v>15389</v>
      </c>
      <c r="J832" s="313">
        <f>'ведом. 2024-2026'!AF818</f>
        <v>13072.1</v>
      </c>
      <c r="K832" s="511">
        <f t="shared" si="232"/>
        <v>0.84944440834362211</v>
      </c>
      <c r="L832" s="227">
        <f>J832</f>
        <v>13072.1</v>
      </c>
      <c r="M832" s="511">
        <f t="shared" si="241"/>
        <v>0.84944440834362211</v>
      </c>
      <c r="N832" s="116"/>
      <c r="P832" s="116"/>
      <c r="Q832" s="116"/>
    </row>
    <row r="833" spans="1:17" s="106" customFormat="1" ht="31.5" x14ac:dyDescent="0.25">
      <c r="A833" s="197" t="s">
        <v>61</v>
      </c>
      <c r="B833" s="148">
        <v>10</v>
      </c>
      <c r="C833" s="4" t="s">
        <v>48</v>
      </c>
      <c r="D833" s="568" t="s">
        <v>499</v>
      </c>
      <c r="E833" s="220">
        <v>600</v>
      </c>
      <c r="F833" s="123">
        <f t="shared" ref="F833:L833" si="257">F834</f>
        <v>816</v>
      </c>
      <c r="G833" s="227">
        <f t="shared" si="257"/>
        <v>816</v>
      </c>
      <c r="H833" s="123">
        <f t="shared" si="257"/>
        <v>816</v>
      </c>
      <c r="I833" s="227">
        <f t="shared" si="257"/>
        <v>816</v>
      </c>
      <c r="J833" s="313">
        <f t="shared" si="257"/>
        <v>816</v>
      </c>
      <c r="K833" s="511">
        <f t="shared" si="232"/>
        <v>1</v>
      </c>
      <c r="L833" s="227">
        <f t="shared" si="257"/>
        <v>816</v>
      </c>
      <c r="M833" s="511">
        <f t="shared" si="241"/>
        <v>1</v>
      </c>
      <c r="N833" s="116"/>
      <c r="P833" s="116"/>
      <c r="Q833" s="116"/>
    </row>
    <row r="834" spans="1:17" s="106" customFormat="1" x14ac:dyDescent="0.25">
      <c r="A834" s="197" t="s">
        <v>62</v>
      </c>
      <c r="B834" s="148">
        <v>10</v>
      </c>
      <c r="C834" s="4" t="s">
        <v>48</v>
      </c>
      <c r="D834" s="568" t="s">
        <v>499</v>
      </c>
      <c r="E834" s="220">
        <v>610</v>
      </c>
      <c r="F834" s="123">
        <f>'ведом. 2024-2026'!AD820</f>
        <v>816</v>
      </c>
      <c r="G834" s="227">
        <f>F834</f>
        <v>816</v>
      </c>
      <c r="H834" s="123">
        <f>'ведом. 2024-2026'!AE820</f>
        <v>816</v>
      </c>
      <c r="I834" s="227">
        <f>H834</f>
        <v>816</v>
      </c>
      <c r="J834" s="313">
        <f>'ведом. 2024-2026'!AF820</f>
        <v>816</v>
      </c>
      <c r="K834" s="511">
        <f t="shared" si="232"/>
        <v>1</v>
      </c>
      <c r="L834" s="227">
        <f>J834</f>
        <v>816</v>
      </c>
      <c r="M834" s="511">
        <f t="shared" si="241"/>
        <v>1</v>
      </c>
      <c r="N834" s="116"/>
      <c r="P834" s="116"/>
      <c r="Q834" s="116"/>
    </row>
    <row r="835" spans="1:17" s="106" customFormat="1" x14ac:dyDescent="0.25">
      <c r="A835" s="199" t="s">
        <v>182</v>
      </c>
      <c r="B835" s="148">
        <v>10</v>
      </c>
      <c r="C835" s="4" t="s">
        <v>48</v>
      </c>
      <c r="D835" s="568" t="s">
        <v>117</v>
      </c>
      <c r="E835" s="220"/>
      <c r="F835" s="123">
        <f t="shared" ref="F835:L835" si="258">F844+F836</f>
        <v>69809.3</v>
      </c>
      <c r="G835" s="227">
        <f t="shared" si="258"/>
        <v>55855</v>
      </c>
      <c r="H835" s="123">
        <f t="shared" ref="H835:I835" si="259">H844+H836</f>
        <v>69809.3</v>
      </c>
      <c r="I835" s="227">
        <f t="shared" si="259"/>
        <v>55855</v>
      </c>
      <c r="J835" s="313">
        <f t="shared" si="258"/>
        <v>69807.3</v>
      </c>
      <c r="K835" s="511">
        <f t="shared" si="232"/>
        <v>0.99997135052206509</v>
      </c>
      <c r="L835" s="227">
        <f t="shared" si="258"/>
        <v>55853</v>
      </c>
      <c r="M835" s="511">
        <f t="shared" si="241"/>
        <v>0.99996419299973149</v>
      </c>
      <c r="N835" s="116"/>
      <c r="P835" s="116"/>
      <c r="Q835" s="116"/>
    </row>
    <row r="836" spans="1:17" s="106" customFormat="1" x14ac:dyDescent="0.25">
      <c r="A836" s="199" t="s">
        <v>181</v>
      </c>
      <c r="B836" s="148">
        <v>10</v>
      </c>
      <c r="C836" s="4" t="s">
        <v>48</v>
      </c>
      <c r="D836" s="568" t="s">
        <v>144</v>
      </c>
      <c r="E836" s="220"/>
      <c r="F836" s="123">
        <f t="shared" ref="F836:L836" si="260">F837</f>
        <v>30482.3</v>
      </c>
      <c r="G836" s="227">
        <f t="shared" si="260"/>
        <v>16528</v>
      </c>
      <c r="H836" s="123">
        <f t="shared" si="260"/>
        <v>30482.3</v>
      </c>
      <c r="I836" s="227">
        <f t="shared" si="260"/>
        <v>16528</v>
      </c>
      <c r="J836" s="313">
        <f t="shared" si="260"/>
        <v>30482.2</v>
      </c>
      <c r="K836" s="511">
        <f t="shared" si="232"/>
        <v>0.99999671940765633</v>
      </c>
      <c r="L836" s="227">
        <f t="shared" si="260"/>
        <v>16527.900000000001</v>
      </c>
      <c r="M836" s="511">
        <f t="shared" si="241"/>
        <v>0.99999394966118116</v>
      </c>
      <c r="N836" s="116"/>
      <c r="P836" s="116"/>
      <c r="Q836" s="116"/>
    </row>
    <row r="837" spans="1:17" s="106" customFormat="1" ht="47.25" x14ac:dyDescent="0.25">
      <c r="A837" s="199" t="s">
        <v>451</v>
      </c>
      <c r="B837" s="148">
        <v>10</v>
      </c>
      <c r="C837" s="4" t="s">
        <v>48</v>
      </c>
      <c r="D837" s="568" t="s">
        <v>143</v>
      </c>
      <c r="E837" s="220"/>
      <c r="F837" s="123">
        <f t="shared" ref="F837:L837" si="261">F841+F838</f>
        <v>30482.3</v>
      </c>
      <c r="G837" s="123">
        <f t="shared" si="261"/>
        <v>16528</v>
      </c>
      <c r="H837" s="123">
        <f t="shared" ref="H837:I837" si="262">H841+H838</f>
        <v>30482.3</v>
      </c>
      <c r="I837" s="123">
        <f t="shared" si="262"/>
        <v>16528</v>
      </c>
      <c r="J837" s="313">
        <f t="shared" si="261"/>
        <v>30482.2</v>
      </c>
      <c r="K837" s="511">
        <f t="shared" si="232"/>
        <v>0.99999671940765633</v>
      </c>
      <c r="L837" s="227">
        <f t="shared" si="261"/>
        <v>16527.900000000001</v>
      </c>
      <c r="M837" s="511">
        <f t="shared" si="241"/>
        <v>0.99999394966118116</v>
      </c>
      <c r="N837" s="116"/>
      <c r="P837" s="116"/>
      <c r="Q837" s="116"/>
    </row>
    <row r="838" spans="1:17" s="106" customFormat="1" ht="31.5" x14ac:dyDescent="0.25">
      <c r="A838" s="12" t="s">
        <v>714</v>
      </c>
      <c r="B838" s="1">
        <v>10</v>
      </c>
      <c r="C838" s="4" t="s">
        <v>48</v>
      </c>
      <c r="D838" s="211" t="s">
        <v>715</v>
      </c>
      <c r="E838" s="220"/>
      <c r="F838" s="123">
        <f>F839</f>
        <v>375.8</v>
      </c>
      <c r="G838" s="123"/>
      <c r="H838" s="123">
        <f>H839</f>
        <v>375.8</v>
      </c>
      <c r="I838" s="123"/>
      <c r="J838" s="313">
        <f t="shared" ref="J838:J839" si="263">J839</f>
        <v>375.8</v>
      </c>
      <c r="K838" s="511">
        <f t="shared" si="232"/>
        <v>1</v>
      </c>
      <c r="L838" s="227"/>
      <c r="M838" s="511"/>
      <c r="N838" s="116"/>
      <c r="P838" s="116"/>
      <c r="Q838" s="116"/>
    </row>
    <row r="839" spans="1:17" s="106" customFormat="1" x14ac:dyDescent="0.25">
      <c r="A839" s="197" t="s">
        <v>98</v>
      </c>
      <c r="B839" s="1">
        <v>10</v>
      </c>
      <c r="C839" s="4" t="s">
        <v>48</v>
      </c>
      <c r="D839" s="211" t="s">
        <v>715</v>
      </c>
      <c r="E839" s="220">
        <v>300</v>
      </c>
      <c r="F839" s="123">
        <f>F840</f>
        <v>375.8</v>
      </c>
      <c r="G839" s="123"/>
      <c r="H839" s="123">
        <f>H840</f>
        <v>375.8</v>
      </c>
      <c r="I839" s="123"/>
      <c r="J839" s="313">
        <f t="shared" si="263"/>
        <v>375.8</v>
      </c>
      <c r="K839" s="511">
        <f t="shared" si="232"/>
        <v>1</v>
      </c>
      <c r="L839" s="227"/>
      <c r="M839" s="511"/>
      <c r="N839" s="116"/>
      <c r="P839" s="116"/>
      <c r="Q839" s="116"/>
    </row>
    <row r="840" spans="1:17" s="106" customFormat="1" x14ac:dyDescent="0.25">
      <c r="A840" s="197" t="s">
        <v>24</v>
      </c>
      <c r="B840" s="1">
        <v>10</v>
      </c>
      <c r="C840" s="4" t="s">
        <v>48</v>
      </c>
      <c r="D840" s="211" t="s">
        <v>715</v>
      </c>
      <c r="E840" s="220">
        <v>320</v>
      </c>
      <c r="F840" s="123">
        <f>'ведом. 2024-2026'!AD1020</f>
        <v>375.8</v>
      </c>
      <c r="G840" s="227"/>
      <c r="H840" s="123">
        <f>'ведом. 2024-2026'!AE1020</f>
        <v>375.8</v>
      </c>
      <c r="I840" s="227"/>
      <c r="J840" s="313">
        <f>'ведом. 2024-2026'!AF1020</f>
        <v>375.8</v>
      </c>
      <c r="K840" s="511">
        <f t="shared" si="232"/>
        <v>1</v>
      </c>
      <c r="L840" s="227"/>
      <c r="M840" s="511"/>
      <c r="N840" s="116"/>
      <c r="P840" s="116"/>
      <c r="Q840" s="116"/>
    </row>
    <row r="841" spans="1:17" s="106" customFormat="1" x14ac:dyDescent="0.25">
      <c r="A841" s="199" t="s">
        <v>179</v>
      </c>
      <c r="B841" s="148">
        <v>10</v>
      </c>
      <c r="C841" s="4" t="s">
        <v>48</v>
      </c>
      <c r="D841" s="568" t="s">
        <v>180</v>
      </c>
      <c r="E841" s="220"/>
      <c r="F841" s="123">
        <f t="shared" ref="F841:L842" si="264">F842</f>
        <v>30106.5</v>
      </c>
      <c r="G841" s="227">
        <f t="shared" si="264"/>
        <v>16528</v>
      </c>
      <c r="H841" s="123">
        <f t="shared" si="264"/>
        <v>30106.5</v>
      </c>
      <c r="I841" s="227">
        <f t="shared" si="264"/>
        <v>16528</v>
      </c>
      <c r="J841" s="313">
        <f t="shared" si="264"/>
        <v>30106.400000000001</v>
      </c>
      <c r="K841" s="511">
        <f t="shared" si="232"/>
        <v>0.99999667845814033</v>
      </c>
      <c r="L841" s="227">
        <f t="shared" si="264"/>
        <v>16527.900000000001</v>
      </c>
      <c r="M841" s="511">
        <f t="shared" si="241"/>
        <v>0.99999394966118116</v>
      </c>
      <c r="N841" s="116"/>
      <c r="P841" s="116"/>
      <c r="Q841" s="116"/>
    </row>
    <row r="842" spans="1:17" s="106" customFormat="1" x14ac:dyDescent="0.25">
      <c r="A842" s="268" t="s">
        <v>98</v>
      </c>
      <c r="B842" s="148">
        <v>10</v>
      </c>
      <c r="C842" s="4" t="s">
        <v>48</v>
      </c>
      <c r="D842" s="568" t="s">
        <v>180</v>
      </c>
      <c r="E842" s="220">
        <v>300</v>
      </c>
      <c r="F842" s="123">
        <f t="shared" si="264"/>
        <v>30106.5</v>
      </c>
      <c r="G842" s="227">
        <f t="shared" si="264"/>
        <v>16528</v>
      </c>
      <c r="H842" s="123">
        <f t="shared" si="264"/>
        <v>30106.5</v>
      </c>
      <c r="I842" s="227">
        <f t="shared" si="264"/>
        <v>16528</v>
      </c>
      <c r="J842" s="313">
        <f t="shared" si="264"/>
        <v>30106.400000000001</v>
      </c>
      <c r="K842" s="511">
        <f t="shared" si="232"/>
        <v>0.99999667845814033</v>
      </c>
      <c r="L842" s="227">
        <f t="shared" si="264"/>
        <v>16527.900000000001</v>
      </c>
      <c r="M842" s="511">
        <f t="shared" si="241"/>
        <v>0.99999394966118116</v>
      </c>
      <c r="N842" s="116"/>
      <c r="P842" s="116"/>
      <c r="Q842" s="116"/>
    </row>
    <row r="843" spans="1:17" s="106" customFormat="1" x14ac:dyDescent="0.25">
      <c r="A843" s="268" t="s">
        <v>24</v>
      </c>
      <c r="B843" s="148">
        <v>10</v>
      </c>
      <c r="C843" s="4" t="s">
        <v>48</v>
      </c>
      <c r="D843" s="568" t="s">
        <v>180</v>
      </c>
      <c r="E843" s="220">
        <v>320</v>
      </c>
      <c r="F843" s="123">
        <f>'ведом. 2024-2026'!AD1023</f>
        <v>30106.5</v>
      </c>
      <c r="G843" s="227">
        <v>16528</v>
      </c>
      <c r="H843" s="123">
        <f>'ведом. 2024-2026'!AE1023</f>
        <v>30106.5</v>
      </c>
      <c r="I843" s="227">
        <v>16528</v>
      </c>
      <c r="J843" s="313">
        <f>'ведом. 2024-2026'!AF1023</f>
        <v>30106.400000000001</v>
      </c>
      <c r="K843" s="511">
        <f t="shared" si="232"/>
        <v>0.99999667845814033</v>
      </c>
      <c r="L843" s="227">
        <v>16527.900000000001</v>
      </c>
      <c r="M843" s="511">
        <f t="shared" si="241"/>
        <v>0.99999394966118116</v>
      </c>
      <c r="N843" s="116"/>
      <c r="P843" s="116"/>
      <c r="Q843" s="116"/>
    </row>
    <row r="844" spans="1:17" s="106" customFormat="1" ht="31.5" x14ac:dyDescent="0.25">
      <c r="A844" s="269" t="s">
        <v>470</v>
      </c>
      <c r="B844" s="148">
        <v>10</v>
      </c>
      <c r="C844" s="4" t="s">
        <v>48</v>
      </c>
      <c r="D844" s="568" t="s">
        <v>147</v>
      </c>
      <c r="E844" s="220"/>
      <c r="F844" s="123">
        <f t="shared" ref="F844:L844" si="265">F845</f>
        <v>39327</v>
      </c>
      <c r="G844" s="123">
        <f t="shared" si="265"/>
        <v>39327</v>
      </c>
      <c r="H844" s="123">
        <f t="shared" si="265"/>
        <v>39327</v>
      </c>
      <c r="I844" s="123">
        <f t="shared" si="265"/>
        <v>39327</v>
      </c>
      <c r="J844" s="313">
        <f t="shared" si="265"/>
        <v>39325.1</v>
      </c>
      <c r="K844" s="511">
        <f t="shared" ref="K844:K892" si="266">J844/H844</f>
        <v>0.99995168713606419</v>
      </c>
      <c r="L844" s="227">
        <f t="shared" si="265"/>
        <v>39325.1</v>
      </c>
      <c r="M844" s="511">
        <f t="shared" ref="M844:M892" si="267">L844/I844</f>
        <v>0.99995168713606419</v>
      </c>
      <c r="N844" s="116"/>
      <c r="P844" s="116"/>
      <c r="Q844" s="116"/>
    </row>
    <row r="845" spans="1:17" s="106" customFormat="1" ht="47.25" x14ac:dyDescent="0.25">
      <c r="A845" s="269" t="s">
        <v>471</v>
      </c>
      <c r="B845" s="148">
        <v>10</v>
      </c>
      <c r="C845" s="4" t="s">
        <v>48</v>
      </c>
      <c r="D845" s="568" t="s">
        <v>146</v>
      </c>
      <c r="E845" s="220"/>
      <c r="F845" s="123">
        <f t="shared" ref="F845:L845" si="268">F846+F849</f>
        <v>39327</v>
      </c>
      <c r="G845" s="123">
        <f t="shared" si="268"/>
        <v>39327</v>
      </c>
      <c r="H845" s="123">
        <f t="shared" ref="H845:I845" si="269">H846+H849</f>
        <v>39327</v>
      </c>
      <c r="I845" s="123">
        <f t="shared" si="269"/>
        <v>39327</v>
      </c>
      <c r="J845" s="313">
        <f t="shared" si="268"/>
        <v>39325.1</v>
      </c>
      <c r="K845" s="511">
        <f t="shared" si="266"/>
        <v>0.99995168713606419</v>
      </c>
      <c r="L845" s="227">
        <f t="shared" si="268"/>
        <v>39325.1</v>
      </c>
      <c r="M845" s="511">
        <f t="shared" si="267"/>
        <v>0.99995168713606419</v>
      </c>
      <c r="N845" s="116"/>
      <c r="P845" s="116"/>
      <c r="Q845" s="116"/>
    </row>
    <row r="846" spans="1:17" s="106" customFormat="1" ht="31.5" x14ac:dyDescent="0.25">
      <c r="A846" s="217" t="s">
        <v>677</v>
      </c>
      <c r="B846" s="148">
        <v>10</v>
      </c>
      <c r="C846" s="4" t="s">
        <v>48</v>
      </c>
      <c r="D846" s="568" t="s">
        <v>145</v>
      </c>
      <c r="E846" s="220"/>
      <c r="F846" s="123">
        <f t="shared" ref="F846:L846" si="270">F847</f>
        <v>4825</v>
      </c>
      <c r="G846" s="123">
        <f t="shared" si="270"/>
        <v>4825</v>
      </c>
      <c r="H846" s="123">
        <f t="shared" si="270"/>
        <v>4825</v>
      </c>
      <c r="I846" s="123">
        <f t="shared" si="270"/>
        <v>4825</v>
      </c>
      <c r="J846" s="313">
        <f t="shared" si="270"/>
        <v>4824.5</v>
      </c>
      <c r="K846" s="511">
        <f t="shared" si="266"/>
        <v>0.99989637305699486</v>
      </c>
      <c r="L846" s="227">
        <f t="shared" si="270"/>
        <v>4824.5</v>
      </c>
      <c r="M846" s="511">
        <f t="shared" si="267"/>
        <v>0.99989637305699486</v>
      </c>
      <c r="N846" s="24"/>
      <c r="P846" s="116"/>
      <c r="Q846" s="116"/>
    </row>
    <row r="847" spans="1:17" s="106" customFormat="1" x14ac:dyDescent="0.25">
      <c r="A847" s="268" t="s">
        <v>23</v>
      </c>
      <c r="B847" s="148">
        <v>10</v>
      </c>
      <c r="C847" s="4" t="s">
        <v>48</v>
      </c>
      <c r="D847" s="575" t="s">
        <v>145</v>
      </c>
      <c r="E847" s="220">
        <v>400</v>
      </c>
      <c r="F847" s="123">
        <f t="shared" ref="F847:L847" si="271">F848</f>
        <v>4825</v>
      </c>
      <c r="G847" s="227">
        <f t="shared" si="271"/>
        <v>4825</v>
      </c>
      <c r="H847" s="123">
        <f t="shared" si="271"/>
        <v>4825</v>
      </c>
      <c r="I847" s="227">
        <f t="shared" si="271"/>
        <v>4825</v>
      </c>
      <c r="J847" s="313">
        <f t="shared" si="271"/>
        <v>4824.5</v>
      </c>
      <c r="K847" s="511">
        <f t="shared" si="266"/>
        <v>0.99989637305699486</v>
      </c>
      <c r="L847" s="227">
        <f t="shared" si="271"/>
        <v>4824.5</v>
      </c>
      <c r="M847" s="511">
        <f t="shared" si="267"/>
        <v>0.99989637305699486</v>
      </c>
      <c r="N847" s="116"/>
      <c r="P847" s="116"/>
      <c r="Q847" s="116"/>
    </row>
    <row r="848" spans="1:17" s="106" customFormat="1" x14ac:dyDescent="0.25">
      <c r="A848" s="268" t="s">
        <v>9</v>
      </c>
      <c r="B848" s="148">
        <v>10</v>
      </c>
      <c r="C848" s="4" t="s">
        <v>48</v>
      </c>
      <c r="D848" s="575" t="s">
        <v>145</v>
      </c>
      <c r="E848" s="220">
        <v>410</v>
      </c>
      <c r="F848" s="123">
        <f>'ведом. 2024-2026'!AD619</f>
        <v>4825</v>
      </c>
      <c r="G848" s="227">
        <f>F848</f>
        <v>4825</v>
      </c>
      <c r="H848" s="123">
        <f>'ведом. 2024-2026'!AE619</f>
        <v>4825</v>
      </c>
      <c r="I848" s="227">
        <f>H848</f>
        <v>4825</v>
      </c>
      <c r="J848" s="313">
        <f>'ведом. 2024-2026'!AF619</f>
        <v>4824.5</v>
      </c>
      <c r="K848" s="511">
        <f t="shared" si="266"/>
        <v>0.99989637305699486</v>
      </c>
      <c r="L848" s="227">
        <f>J848</f>
        <v>4824.5</v>
      </c>
      <c r="M848" s="511">
        <f t="shared" si="267"/>
        <v>0.99989637305699486</v>
      </c>
      <c r="N848" s="116"/>
      <c r="P848" s="116"/>
      <c r="Q848" s="116"/>
    </row>
    <row r="849" spans="1:17" s="106" customFormat="1" x14ac:dyDescent="0.25">
      <c r="A849" s="197" t="s">
        <v>690</v>
      </c>
      <c r="B849" s="1">
        <v>10</v>
      </c>
      <c r="C849" s="4" t="s">
        <v>48</v>
      </c>
      <c r="D849" s="585" t="s">
        <v>689</v>
      </c>
      <c r="E849" s="220"/>
      <c r="F849" s="123">
        <f>F850</f>
        <v>34502</v>
      </c>
      <c r="G849" s="123">
        <f t="shared" ref="G849:L850" si="272">G850</f>
        <v>34502</v>
      </c>
      <c r="H849" s="123">
        <f>H850</f>
        <v>34502</v>
      </c>
      <c r="I849" s="123">
        <f t="shared" si="272"/>
        <v>34502</v>
      </c>
      <c r="J849" s="313">
        <f t="shared" si="272"/>
        <v>34500.6</v>
      </c>
      <c r="K849" s="511">
        <f t="shared" si="266"/>
        <v>0.99995942264216564</v>
      </c>
      <c r="L849" s="227">
        <f t="shared" si="272"/>
        <v>34500.6</v>
      </c>
      <c r="M849" s="511">
        <f t="shared" si="267"/>
        <v>0.99995942264216564</v>
      </c>
      <c r="N849" s="116"/>
      <c r="P849" s="116"/>
      <c r="Q849" s="116"/>
    </row>
    <row r="850" spans="1:17" s="106" customFormat="1" x14ac:dyDescent="0.25">
      <c r="A850" s="197" t="s">
        <v>98</v>
      </c>
      <c r="B850" s="1">
        <v>10</v>
      </c>
      <c r="C850" s="4" t="s">
        <v>48</v>
      </c>
      <c r="D850" s="585" t="s">
        <v>689</v>
      </c>
      <c r="E850" s="220">
        <v>300</v>
      </c>
      <c r="F850" s="123">
        <f>F851</f>
        <v>34502</v>
      </c>
      <c r="G850" s="123">
        <f t="shared" si="272"/>
        <v>34502</v>
      </c>
      <c r="H850" s="123">
        <f>H851</f>
        <v>34502</v>
      </c>
      <c r="I850" s="123">
        <f t="shared" si="272"/>
        <v>34502</v>
      </c>
      <c r="J850" s="313">
        <f t="shared" si="272"/>
        <v>34500.6</v>
      </c>
      <c r="K850" s="511">
        <f t="shared" si="266"/>
        <v>0.99995942264216564</v>
      </c>
      <c r="L850" s="227">
        <f t="shared" si="272"/>
        <v>34500.6</v>
      </c>
      <c r="M850" s="511">
        <f t="shared" si="267"/>
        <v>0.99995942264216564</v>
      </c>
      <c r="N850" s="116"/>
      <c r="P850" s="116"/>
      <c r="Q850" s="116"/>
    </row>
    <row r="851" spans="1:17" s="106" customFormat="1" x14ac:dyDescent="0.25">
      <c r="A851" s="197" t="s">
        <v>40</v>
      </c>
      <c r="B851" s="1">
        <v>10</v>
      </c>
      <c r="C851" s="4" t="s">
        <v>48</v>
      </c>
      <c r="D851" s="585" t="s">
        <v>689</v>
      </c>
      <c r="E851" s="220">
        <v>320</v>
      </c>
      <c r="F851" s="123">
        <f>'ведом. 2024-2026'!AD622</f>
        <v>34502</v>
      </c>
      <c r="G851" s="123">
        <f>F851</f>
        <v>34502</v>
      </c>
      <c r="H851" s="123">
        <f>'ведом. 2024-2026'!AE622</f>
        <v>34502</v>
      </c>
      <c r="I851" s="123">
        <f>H851</f>
        <v>34502</v>
      </c>
      <c r="J851" s="313">
        <f>'ведом. 2024-2026'!AF622</f>
        <v>34500.6</v>
      </c>
      <c r="K851" s="511">
        <f t="shared" si="266"/>
        <v>0.99995942264216564</v>
      </c>
      <c r="L851" s="227">
        <f>J851</f>
        <v>34500.6</v>
      </c>
      <c r="M851" s="511">
        <f t="shared" si="267"/>
        <v>0.99995942264216564</v>
      </c>
      <c r="N851" s="116"/>
      <c r="P851" s="116"/>
      <c r="Q851" s="116"/>
    </row>
    <row r="852" spans="1:17" s="106" customFormat="1" x14ac:dyDescent="0.25">
      <c r="A852" s="268" t="s">
        <v>33</v>
      </c>
      <c r="B852" s="148">
        <v>10</v>
      </c>
      <c r="C852" s="4" t="s">
        <v>96</v>
      </c>
      <c r="D852" s="458"/>
      <c r="E852" s="221"/>
      <c r="F852" s="123">
        <f t="shared" ref="F852:H860" si="273">F853</f>
        <v>140</v>
      </c>
      <c r="G852" s="227"/>
      <c r="H852" s="123">
        <f t="shared" si="273"/>
        <v>140</v>
      </c>
      <c r="I852" s="227"/>
      <c r="J852" s="313">
        <f>J853</f>
        <v>140</v>
      </c>
      <c r="K852" s="511">
        <f t="shared" si="266"/>
        <v>1</v>
      </c>
      <c r="L852" s="227"/>
      <c r="M852" s="511"/>
      <c r="N852" s="116"/>
      <c r="P852" s="116"/>
      <c r="Q852" s="116"/>
    </row>
    <row r="853" spans="1:17" s="106" customFormat="1" x14ac:dyDescent="0.25">
      <c r="A853" s="199" t="s">
        <v>300</v>
      </c>
      <c r="B853" s="148">
        <v>10</v>
      </c>
      <c r="C853" s="4" t="s">
        <v>96</v>
      </c>
      <c r="D853" s="568" t="s">
        <v>110</v>
      </c>
      <c r="E853" s="221"/>
      <c r="F853" s="123">
        <f t="shared" si="273"/>
        <v>140</v>
      </c>
      <c r="G853" s="227"/>
      <c r="H853" s="123">
        <f t="shared" si="273"/>
        <v>140</v>
      </c>
      <c r="I853" s="227"/>
      <c r="J853" s="313">
        <f>J854</f>
        <v>140</v>
      </c>
      <c r="K853" s="511">
        <f t="shared" si="266"/>
        <v>1</v>
      </c>
      <c r="L853" s="227"/>
      <c r="M853" s="511"/>
      <c r="N853" s="116"/>
      <c r="P853" s="116"/>
      <c r="Q853" s="116"/>
    </row>
    <row r="854" spans="1:17" s="106" customFormat="1" ht="31.5" x14ac:dyDescent="0.25">
      <c r="A854" s="202" t="s">
        <v>359</v>
      </c>
      <c r="B854" s="148">
        <v>10</v>
      </c>
      <c r="C854" s="4" t="s">
        <v>96</v>
      </c>
      <c r="D854" s="568" t="s">
        <v>559</v>
      </c>
      <c r="E854" s="221"/>
      <c r="F854" s="123">
        <f t="shared" si="273"/>
        <v>140</v>
      </c>
      <c r="G854" s="227"/>
      <c r="H854" s="123">
        <f t="shared" si="273"/>
        <v>140</v>
      </c>
      <c r="I854" s="227"/>
      <c r="J854" s="313">
        <f>J855</f>
        <v>140</v>
      </c>
      <c r="K854" s="511">
        <f t="shared" si="266"/>
        <v>1</v>
      </c>
      <c r="L854" s="227"/>
      <c r="M854" s="511"/>
      <c r="N854" s="116"/>
      <c r="P854" s="116"/>
      <c r="Q854" s="116"/>
    </row>
    <row r="855" spans="1:17" s="106" customFormat="1" x14ac:dyDescent="0.25">
      <c r="A855" s="218" t="s">
        <v>561</v>
      </c>
      <c r="B855" s="148">
        <v>10</v>
      </c>
      <c r="C855" s="4" t="s">
        <v>96</v>
      </c>
      <c r="D855" s="568" t="s">
        <v>560</v>
      </c>
      <c r="E855" s="221"/>
      <c r="F855" s="123">
        <f>F859+F856</f>
        <v>140</v>
      </c>
      <c r="G855" s="123"/>
      <c r="H855" s="123">
        <f>H859+H856</f>
        <v>140</v>
      </c>
      <c r="I855" s="123"/>
      <c r="J855" s="313">
        <f>J859+J856</f>
        <v>140</v>
      </c>
      <c r="K855" s="511">
        <f t="shared" si="266"/>
        <v>1</v>
      </c>
      <c r="L855" s="227"/>
      <c r="M855" s="511"/>
      <c r="N855" s="116"/>
      <c r="P855" s="116"/>
      <c r="Q855" s="116"/>
    </row>
    <row r="856" spans="1:17" s="106" customFormat="1" x14ac:dyDescent="0.25">
      <c r="A856" s="305" t="s">
        <v>642</v>
      </c>
      <c r="B856" s="1">
        <v>10</v>
      </c>
      <c r="C856" s="1" t="s">
        <v>96</v>
      </c>
      <c r="D856" s="581" t="s">
        <v>643</v>
      </c>
      <c r="E856" s="602"/>
      <c r="F856" s="123">
        <f>F857</f>
        <v>70</v>
      </c>
      <c r="G856" s="227"/>
      <c r="H856" s="123">
        <f>H857</f>
        <v>70</v>
      </c>
      <c r="I856" s="227"/>
      <c r="J856" s="313">
        <f>J857</f>
        <v>70</v>
      </c>
      <c r="K856" s="511">
        <f t="shared" si="266"/>
        <v>1</v>
      </c>
      <c r="L856" s="227"/>
      <c r="M856" s="511"/>
      <c r="N856" s="116"/>
      <c r="P856" s="116"/>
      <c r="Q856" s="116"/>
    </row>
    <row r="857" spans="1:17" s="106" customFormat="1" ht="31.5" x14ac:dyDescent="0.25">
      <c r="A857" s="306" t="s">
        <v>61</v>
      </c>
      <c r="B857" s="1">
        <v>10</v>
      </c>
      <c r="C857" s="1" t="s">
        <v>96</v>
      </c>
      <c r="D857" s="581" t="s">
        <v>643</v>
      </c>
      <c r="E857" s="602">
        <v>600</v>
      </c>
      <c r="F857" s="123">
        <f>F858</f>
        <v>70</v>
      </c>
      <c r="G857" s="227"/>
      <c r="H857" s="123">
        <f>H858</f>
        <v>70</v>
      </c>
      <c r="I857" s="227"/>
      <c r="J857" s="313">
        <f>J858</f>
        <v>70</v>
      </c>
      <c r="K857" s="511">
        <f t="shared" si="266"/>
        <v>1</v>
      </c>
      <c r="L857" s="227"/>
      <c r="M857" s="511"/>
      <c r="N857" s="116"/>
      <c r="P857" s="116"/>
      <c r="Q857" s="116"/>
    </row>
    <row r="858" spans="1:17" s="106" customFormat="1" ht="36.75" customHeight="1" x14ac:dyDescent="0.25">
      <c r="A858" s="307" t="s">
        <v>434</v>
      </c>
      <c r="B858" s="1">
        <v>10</v>
      </c>
      <c r="C858" s="1" t="s">
        <v>96</v>
      </c>
      <c r="D858" s="581" t="s">
        <v>643</v>
      </c>
      <c r="E858" s="602">
        <v>630</v>
      </c>
      <c r="F858" s="123">
        <f>'ведом. 2024-2026'!AD458</f>
        <v>70</v>
      </c>
      <c r="G858" s="227"/>
      <c r="H858" s="123">
        <f>'ведом. 2024-2026'!AD458</f>
        <v>70</v>
      </c>
      <c r="I858" s="227"/>
      <c r="J858" s="313">
        <f>'ведом. 2024-2026'!AF458</f>
        <v>70</v>
      </c>
      <c r="K858" s="511">
        <f t="shared" si="266"/>
        <v>1</v>
      </c>
      <c r="L858" s="227"/>
      <c r="M858" s="511"/>
      <c r="N858" s="116"/>
      <c r="P858" s="116"/>
      <c r="Q858" s="116"/>
    </row>
    <row r="859" spans="1:17" s="106" customFormat="1" ht="31.5" x14ac:dyDescent="0.25">
      <c r="A859" s="200" t="s">
        <v>614</v>
      </c>
      <c r="B859" s="148">
        <v>10</v>
      </c>
      <c r="C859" s="4" t="s">
        <v>96</v>
      </c>
      <c r="D859" s="568" t="s">
        <v>615</v>
      </c>
      <c r="E859" s="602"/>
      <c r="F859" s="123">
        <f t="shared" si="273"/>
        <v>70</v>
      </c>
      <c r="G859" s="227"/>
      <c r="H859" s="123">
        <f t="shared" si="273"/>
        <v>70</v>
      </c>
      <c r="I859" s="227"/>
      <c r="J859" s="313">
        <f>J860</f>
        <v>70</v>
      </c>
      <c r="K859" s="511">
        <f t="shared" si="266"/>
        <v>1</v>
      </c>
      <c r="L859" s="227"/>
      <c r="M859" s="511"/>
      <c r="N859" s="116"/>
      <c r="P859" s="116"/>
      <c r="Q859" s="116"/>
    </row>
    <row r="860" spans="1:17" s="106" customFormat="1" ht="31.5" x14ac:dyDescent="0.25">
      <c r="A860" s="268" t="s">
        <v>61</v>
      </c>
      <c r="B860" s="148">
        <v>10</v>
      </c>
      <c r="C860" s="4" t="s">
        <v>96</v>
      </c>
      <c r="D860" s="568" t="s">
        <v>615</v>
      </c>
      <c r="E860" s="602">
        <v>600</v>
      </c>
      <c r="F860" s="123">
        <f t="shared" si="273"/>
        <v>70</v>
      </c>
      <c r="G860" s="227"/>
      <c r="H860" s="123">
        <f t="shared" si="273"/>
        <v>70</v>
      </c>
      <c r="I860" s="227"/>
      <c r="J860" s="313">
        <f>J861</f>
        <v>70</v>
      </c>
      <c r="K860" s="511">
        <f t="shared" si="266"/>
        <v>1</v>
      </c>
      <c r="L860" s="227"/>
      <c r="M860" s="511"/>
      <c r="N860" s="116"/>
      <c r="P860" s="116"/>
      <c r="Q860" s="116"/>
    </row>
    <row r="861" spans="1:17" s="106" customFormat="1" ht="36.75" customHeight="1" x14ac:dyDescent="0.25">
      <c r="A861" s="281" t="s">
        <v>434</v>
      </c>
      <c r="B861" s="148">
        <v>10</v>
      </c>
      <c r="C861" s="4" t="s">
        <v>96</v>
      </c>
      <c r="D861" s="568" t="s">
        <v>615</v>
      </c>
      <c r="E861" s="602">
        <v>630</v>
      </c>
      <c r="F861" s="123">
        <f>'ведом. 2024-2026'!AD461</f>
        <v>70</v>
      </c>
      <c r="G861" s="227"/>
      <c r="H861" s="123">
        <f>'ведом. 2024-2026'!AD461</f>
        <v>70</v>
      </c>
      <c r="I861" s="227"/>
      <c r="J861" s="313">
        <f>'ведом. 2024-2026'!AF461</f>
        <v>70</v>
      </c>
      <c r="K861" s="511">
        <f t="shared" si="266"/>
        <v>1</v>
      </c>
      <c r="L861" s="227"/>
      <c r="M861" s="511"/>
      <c r="N861" s="116"/>
      <c r="P861" s="116"/>
      <c r="Q861" s="116"/>
    </row>
    <row r="862" spans="1:17" s="106" customFormat="1" x14ac:dyDescent="0.25">
      <c r="A862" s="277" t="s">
        <v>13</v>
      </c>
      <c r="B862" s="139">
        <v>11</v>
      </c>
      <c r="C862" s="145"/>
      <c r="D862" s="534"/>
      <c r="E862" s="592"/>
      <c r="F862" s="125">
        <f>F863+F873</f>
        <v>119813.4</v>
      </c>
      <c r="G862" s="125">
        <f>G863+G873</f>
        <v>1858</v>
      </c>
      <c r="H862" s="125">
        <f>H863+H873</f>
        <v>119813.4</v>
      </c>
      <c r="I862" s="125">
        <f>I863+I873</f>
        <v>1858</v>
      </c>
      <c r="J862" s="502">
        <f>J863+J873</f>
        <v>119639.2</v>
      </c>
      <c r="K862" s="512">
        <f t="shared" si="266"/>
        <v>0.99854607247603355</v>
      </c>
      <c r="L862" s="242">
        <f>L873</f>
        <v>1858</v>
      </c>
      <c r="M862" s="511">
        <f t="shared" si="267"/>
        <v>1</v>
      </c>
      <c r="N862" s="116"/>
      <c r="P862" s="116"/>
      <c r="Q862" s="116"/>
    </row>
    <row r="863" spans="1:17" s="106" customFormat="1" x14ac:dyDescent="0.25">
      <c r="A863" s="268" t="s">
        <v>35</v>
      </c>
      <c r="B863" s="148">
        <v>11</v>
      </c>
      <c r="C863" s="4" t="s">
        <v>30</v>
      </c>
      <c r="D863" s="568"/>
      <c r="E863" s="222"/>
      <c r="F863" s="123">
        <f>F864</f>
        <v>3751.7000000000003</v>
      </c>
      <c r="G863" s="123"/>
      <c r="H863" s="123">
        <f>H864</f>
        <v>3751.7000000000003</v>
      </c>
      <c r="I863" s="123"/>
      <c r="J863" s="313">
        <f t="shared" ref="J863:J864" si="274">J864</f>
        <v>3577.5</v>
      </c>
      <c r="K863" s="511">
        <f t="shared" si="266"/>
        <v>0.95356771596876078</v>
      </c>
      <c r="L863" s="227"/>
      <c r="M863" s="511"/>
      <c r="N863" s="116"/>
      <c r="P863" s="116"/>
      <c r="Q863" s="116"/>
    </row>
    <row r="864" spans="1:17" s="106" customFormat="1" x14ac:dyDescent="0.25">
      <c r="A864" s="199" t="s">
        <v>158</v>
      </c>
      <c r="B864" s="148">
        <v>11</v>
      </c>
      <c r="C864" s="4" t="s">
        <v>30</v>
      </c>
      <c r="D864" s="568" t="s">
        <v>116</v>
      </c>
      <c r="E864" s="222"/>
      <c r="F864" s="123">
        <f>F865</f>
        <v>3751.7000000000003</v>
      </c>
      <c r="G864" s="123"/>
      <c r="H864" s="123">
        <f>H865</f>
        <v>3751.7000000000003</v>
      </c>
      <c r="I864" s="123"/>
      <c r="J864" s="313">
        <f t="shared" si="274"/>
        <v>3577.5</v>
      </c>
      <c r="K864" s="511">
        <f t="shared" si="266"/>
        <v>0.95356771596876078</v>
      </c>
      <c r="L864" s="227"/>
      <c r="M864" s="511"/>
      <c r="N864" s="116"/>
      <c r="P864" s="116"/>
      <c r="Q864" s="116"/>
    </row>
    <row r="865" spans="1:17" s="106" customFormat="1" x14ac:dyDescent="0.25">
      <c r="A865" s="199" t="s">
        <v>159</v>
      </c>
      <c r="B865" s="148">
        <v>11</v>
      </c>
      <c r="C865" s="4" t="s">
        <v>30</v>
      </c>
      <c r="D865" s="568" t="s">
        <v>120</v>
      </c>
      <c r="E865" s="222"/>
      <c r="F865" s="123">
        <f>F866</f>
        <v>3751.7000000000003</v>
      </c>
      <c r="G865" s="227"/>
      <c r="H865" s="123">
        <f>H866</f>
        <v>3751.7000000000003</v>
      </c>
      <c r="I865" s="227"/>
      <c r="J865" s="313">
        <f>J866</f>
        <v>3577.5</v>
      </c>
      <c r="K865" s="511">
        <f t="shared" si="266"/>
        <v>0.95356771596876078</v>
      </c>
      <c r="L865" s="227"/>
      <c r="M865" s="511"/>
      <c r="N865" s="116"/>
      <c r="P865" s="116"/>
      <c r="Q865" s="116"/>
    </row>
    <row r="866" spans="1:17" s="106" customFormat="1" ht="31.5" x14ac:dyDescent="0.25">
      <c r="A866" s="214" t="s">
        <v>160</v>
      </c>
      <c r="B866" s="148">
        <v>11</v>
      </c>
      <c r="C866" s="4" t="s">
        <v>30</v>
      </c>
      <c r="D866" s="568" t="s">
        <v>129</v>
      </c>
      <c r="E866" s="222"/>
      <c r="F866" s="123">
        <f>F867</f>
        <v>3751.7000000000003</v>
      </c>
      <c r="G866" s="227"/>
      <c r="H866" s="123">
        <f>H867</f>
        <v>3751.7000000000003</v>
      </c>
      <c r="I866" s="227"/>
      <c r="J866" s="313">
        <f>J867</f>
        <v>3577.5</v>
      </c>
      <c r="K866" s="511">
        <f t="shared" si="266"/>
        <v>0.95356771596876078</v>
      </c>
      <c r="L866" s="227"/>
      <c r="M866" s="511"/>
      <c r="N866" s="116"/>
      <c r="P866" s="116"/>
      <c r="Q866" s="116"/>
    </row>
    <row r="867" spans="1:17" s="106" customFormat="1" ht="34.5" customHeight="1" x14ac:dyDescent="0.25">
      <c r="A867" s="200" t="s">
        <v>161</v>
      </c>
      <c r="B867" s="148">
        <v>11</v>
      </c>
      <c r="C867" s="4" t="s">
        <v>30</v>
      </c>
      <c r="D867" s="568" t="s">
        <v>162</v>
      </c>
      <c r="E867" s="592"/>
      <c r="F867" s="123">
        <f>F868+F870</f>
        <v>3751.7000000000003</v>
      </c>
      <c r="G867" s="227"/>
      <c r="H867" s="123">
        <f>H868+H870</f>
        <v>3751.7000000000003</v>
      </c>
      <c r="I867" s="227"/>
      <c r="J867" s="313">
        <f>J868+J870</f>
        <v>3577.5</v>
      </c>
      <c r="K867" s="511">
        <f t="shared" si="266"/>
        <v>0.95356771596876078</v>
      </c>
      <c r="L867" s="227"/>
      <c r="M867" s="511"/>
      <c r="N867" s="116"/>
      <c r="P867" s="116"/>
      <c r="Q867" s="116"/>
    </row>
    <row r="868" spans="1:17" s="106" customFormat="1" x14ac:dyDescent="0.25">
      <c r="A868" s="268" t="s">
        <v>121</v>
      </c>
      <c r="B868" s="148">
        <v>11</v>
      </c>
      <c r="C868" s="4" t="s">
        <v>30</v>
      </c>
      <c r="D868" s="568" t="s">
        <v>162</v>
      </c>
      <c r="E868" s="222">
        <v>200</v>
      </c>
      <c r="F868" s="123">
        <f>F869</f>
        <v>2786.7000000000003</v>
      </c>
      <c r="G868" s="227"/>
      <c r="H868" s="123">
        <f>H869</f>
        <v>2786.7000000000003</v>
      </c>
      <c r="I868" s="227"/>
      <c r="J868" s="313">
        <f>J869</f>
        <v>2612.5</v>
      </c>
      <c r="K868" s="511">
        <f t="shared" si="266"/>
        <v>0.93748878601930585</v>
      </c>
      <c r="L868" s="227"/>
      <c r="M868" s="511"/>
      <c r="N868" s="116"/>
      <c r="P868" s="116"/>
      <c r="Q868" s="116"/>
    </row>
    <row r="869" spans="1:17" s="106" customFormat="1" ht="24" customHeight="1" x14ac:dyDescent="0.25">
      <c r="A869" s="268" t="s">
        <v>52</v>
      </c>
      <c r="B869" s="148">
        <v>11</v>
      </c>
      <c r="C869" s="4" t="s">
        <v>30</v>
      </c>
      <c r="D869" s="568" t="s">
        <v>162</v>
      </c>
      <c r="E869" s="222">
        <v>240</v>
      </c>
      <c r="F869" s="123">
        <f>'ведом. 2024-2026'!AD469</f>
        <v>2786.7000000000003</v>
      </c>
      <c r="G869" s="227"/>
      <c r="H869" s="123">
        <f>'ведом. 2024-2026'!AE469</f>
        <v>2786.7000000000003</v>
      </c>
      <c r="I869" s="227"/>
      <c r="J869" s="313">
        <f>'ведом. 2024-2026'!AF469</f>
        <v>2612.5</v>
      </c>
      <c r="K869" s="511">
        <f t="shared" si="266"/>
        <v>0.93748878601930585</v>
      </c>
      <c r="L869" s="227"/>
      <c r="M869" s="511"/>
      <c r="N869" s="116"/>
      <c r="P869" s="116"/>
      <c r="Q869" s="116"/>
    </row>
    <row r="870" spans="1:17" s="106" customFormat="1" ht="31.5" x14ac:dyDescent="0.25">
      <c r="A870" s="197" t="s">
        <v>61</v>
      </c>
      <c r="B870" s="148">
        <v>11</v>
      </c>
      <c r="C870" s="4" t="s">
        <v>30</v>
      </c>
      <c r="D870" s="568" t="s">
        <v>162</v>
      </c>
      <c r="E870" s="222">
        <v>600</v>
      </c>
      <c r="F870" s="123">
        <f>F871+F872</f>
        <v>965</v>
      </c>
      <c r="G870" s="227"/>
      <c r="H870" s="123">
        <f>H871+H872</f>
        <v>965</v>
      </c>
      <c r="I870" s="227"/>
      <c r="J870" s="313">
        <f>J871+J872</f>
        <v>965</v>
      </c>
      <c r="K870" s="511">
        <f t="shared" si="266"/>
        <v>1</v>
      </c>
      <c r="L870" s="227"/>
      <c r="M870" s="511"/>
      <c r="N870" s="116"/>
      <c r="P870" s="116"/>
      <c r="Q870" s="116"/>
    </row>
    <row r="871" spans="1:17" s="106" customFormat="1" x14ac:dyDescent="0.25">
      <c r="A871" s="216" t="s">
        <v>62</v>
      </c>
      <c r="B871" s="148">
        <v>11</v>
      </c>
      <c r="C871" s="4" t="s">
        <v>30</v>
      </c>
      <c r="D871" s="568" t="s">
        <v>162</v>
      </c>
      <c r="E871" s="222">
        <v>610</v>
      </c>
      <c r="F871" s="123">
        <f>'ведом. 2024-2026'!AD471</f>
        <v>450</v>
      </c>
      <c r="G871" s="227"/>
      <c r="H871" s="123">
        <f>'ведом. 2024-2026'!AD471</f>
        <v>450</v>
      </c>
      <c r="I871" s="227"/>
      <c r="J871" s="313">
        <f>'ведом. 2024-2026'!AF471</f>
        <v>450</v>
      </c>
      <c r="K871" s="511">
        <f t="shared" si="266"/>
        <v>1</v>
      </c>
      <c r="L871" s="227"/>
      <c r="M871" s="511"/>
      <c r="N871" s="116"/>
      <c r="P871" s="116"/>
      <c r="Q871" s="116"/>
    </row>
    <row r="872" spans="1:17" s="106" customFormat="1" x14ac:dyDescent="0.25">
      <c r="A872" s="216" t="s">
        <v>130</v>
      </c>
      <c r="B872" s="148">
        <v>11</v>
      </c>
      <c r="C872" s="4" t="s">
        <v>30</v>
      </c>
      <c r="D872" s="568" t="s">
        <v>162</v>
      </c>
      <c r="E872" s="222">
        <v>620</v>
      </c>
      <c r="F872" s="123">
        <f>'ведом. 2024-2026'!AD472</f>
        <v>515</v>
      </c>
      <c r="G872" s="227"/>
      <c r="H872" s="123">
        <f>'ведом. 2024-2026'!AE472</f>
        <v>515</v>
      </c>
      <c r="I872" s="227"/>
      <c r="J872" s="313">
        <f>'ведом. 2024-2026'!AF472</f>
        <v>515</v>
      </c>
      <c r="K872" s="511">
        <f t="shared" si="266"/>
        <v>1</v>
      </c>
      <c r="L872" s="227"/>
      <c r="M872" s="511"/>
      <c r="N872" s="116"/>
      <c r="P872" s="116"/>
      <c r="Q872" s="116"/>
    </row>
    <row r="873" spans="1:17" s="106" customFormat="1" x14ac:dyDescent="0.25">
      <c r="A873" s="216" t="s">
        <v>647</v>
      </c>
      <c r="B873" s="1">
        <v>11</v>
      </c>
      <c r="C873" s="4" t="s">
        <v>7</v>
      </c>
      <c r="D873" s="211"/>
      <c r="E873" s="222"/>
      <c r="F873" s="123">
        <f t="shared" ref="F873:I878" si="275">F874</f>
        <v>116061.7</v>
      </c>
      <c r="G873" s="123">
        <f t="shared" si="275"/>
        <v>1858</v>
      </c>
      <c r="H873" s="123">
        <f t="shared" si="275"/>
        <v>116061.7</v>
      </c>
      <c r="I873" s="123">
        <f t="shared" si="275"/>
        <v>1858</v>
      </c>
      <c r="J873" s="313">
        <f t="shared" ref="J873:J878" si="276">J874</f>
        <v>116061.7</v>
      </c>
      <c r="K873" s="511">
        <f t="shared" si="266"/>
        <v>1</v>
      </c>
      <c r="L873" s="227">
        <f>L874</f>
        <v>1858</v>
      </c>
      <c r="M873" s="511">
        <f t="shared" si="267"/>
        <v>1</v>
      </c>
      <c r="N873" s="116"/>
      <c r="P873" s="116"/>
      <c r="Q873" s="116"/>
    </row>
    <row r="874" spans="1:17" s="106" customFormat="1" x14ac:dyDescent="0.25">
      <c r="A874" s="199" t="s">
        <v>158</v>
      </c>
      <c r="B874" s="1">
        <v>11</v>
      </c>
      <c r="C874" s="4" t="s">
        <v>7</v>
      </c>
      <c r="D874" s="211" t="s">
        <v>116</v>
      </c>
      <c r="E874" s="222"/>
      <c r="F874" s="123">
        <f t="shared" si="275"/>
        <v>116061.7</v>
      </c>
      <c r="G874" s="123">
        <f t="shared" si="275"/>
        <v>1858</v>
      </c>
      <c r="H874" s="123">
        <f t="shared" si="275"/>
        <v>116061.7</v>
      </c>
      <c r="I874" s="123">
        <f t="shared" si="275"/>
        <v>1858</v>
      </c>
      <c r="J874" s="313">
        <f t="shared" si="276"/>
        <v>116061.7</v>
      </c>
      <c r="K874" s="511">
        <f t="shared" si="266"/>
        <v>1</v>
      </c>
      <c r="L874" s="227">
        <f>L875</f>
        <v>1858</v>
      </c>
      <c r="M874" s="511">
        <f t="shared" si="267"/>
        <v>1</v>
      </c>
      <c r="N874" s="116"/>
      <c r="P874" s="116"/>
      <c r="Q874" s="116"/>
    </row>
    <row r="875" spans="1:17" s="106" customFormat="1" x14ac:dyDescent="0.25">
      <c r="A875" s="216" t="s">
        <v>648</v>
      </c>
      <c r="B875" s="1">
        <v>11</v>
      </c>
      <c r="C875" s="4" t="s">
        <v>7</v>
      </c>
      <c r="D875" s="211" t="s">
        <v>649</v>
      </c>
      <c r="E875" s="222"/>
      <c r="F875" s="123">
        <f>F876+F880</f>
        <v>116061.7</v>
      </c>
      <c r="G875" s="123">
        <f>G876+G880</f>
        <v>1858</v>
      </c>
      <c r="H875" s="123">
        <f>H876+H880</f>
        <v>116061.7</v>
      </c>
      <c r="I875" s="123">
        <f>I876+I880</f>
        <v>1858</v>
      </c>
      <c r="J875" s="313">
        <f t="shared" ref="J875" si="277">J876+J880</f>
        <v>116061.7</v>
      </c>
      <c r="K875" s="511">
        <f t="shared" si="266"/>
        <v>1</v>
      </c>
      <c r="L875" s="227">
        <v>1858</v>
      </c>
      <c r="M875" s="511">
        <f t="shared" si="267"/>
        <v>1</v>
      </c>
      <c r="N875" s="116"/>
      <c r="P875" s="116"/>
      <c r="Q875" s="116"/>
    </row>
    <row r="876" spans="1:17" s="106" customFormat="1" x14ac:dyDescent="0.25">
      <c r="A876" s="216" t="s">
        <v>651</v>
      </c>
      <c r="B876" s="1">
        <v>11</v>
      </c>
      <c r="C876" s="4" t="s">
        <v>7</v>
      </c>
      <c r="D876" s="211" t="s">
        <v>650</v>
      </c>
      <c r="E876" s="222"/>
      <c r="F876" s="123">
        <f t="shared" si="275"/>
        <v>114203.7</v>
      </c>
      <c r="G876" s="123"/>
      <c r="H876" s="123">
        <f t="shared" si="275"/>
        <v>114203.7</v>
      </c>
      <c r="I876" s="123"/>
      <c r="J876" s="313">
        <f t="shared" si="276"/>
        <v>114203.7</v>
      </c>
      <c r="K876" s="511">
        <f t="shared" si="266"/>
        <v>1</v>
      </c>
      <c r="L876" s="227"/>
      <c r="M876" s="511"/>
      <c r="N876" s="116"/>
      <c r="P876" s="116"/>
      <c r="Q876" s="116"/>
    </row>
    <row r="877" spans="1:17" s="106" customFormat="1" ht="31.5" x14ac:dyDescent="0.25">
      <c r="A877" s="216" t="s">
        <v>653</v>
      </c>
      <c r="B877" s="1">
        <v>11</v>
      </c>
      <c r="C877" s="4" t="s">
        <v>7</v>
      </c>
      <c r="D877" s="211" t="s">
        <v>652</v>
      </c>
      <c r="E877" s="222"/>
      <c r="F877" s="123">
        <f t="shared" si="275"/>
        <v>114203.7</v>
      </c>
      <c r="G877" s="123"/>
      <c r="H877" s="123">
        <f t="shared" si="275"/>
        <v>114203.7</v>
      </c>
      <c r="I877" s="123"/>
      <c r="J877" s="313">
        <f t="shared" si="276"/>
        <v>114203.7</v>
      </c>
      <c r="K877" s="511">
        <f t="shared" si="266"/>
        <v>1</v>
      </c>
      <c r="L877" s="227"/>
      <c r="M877" s="511"/>
      <c r="N877" s="116"/>
      <c r="P877" s="116"/>
      <c r="Q877" s="116"/>
    </row>
    <row r="878" spans="1:17" s="106" customFormat="1" ht="31.5" x14ac:dyDescent="0.25">
      <c r="A878" s="197" t="s">
        <v>61</v>
      </c>
      <c r="B878" s="1">
        <v>11</v>
      </c>
      <c r="C878" s="4" t="s">
        <v>7</v>
      </c>
      <c r="D878" s="211" t="s">
        <v>652</v>
      </c>
      <c r="E878" s="222">
        <v>600</v>
      </c>
      <c r="F878" s="123">
        <f t="shared" si="275"/>
        <v>114203.7</v>
      </c>
      <c r="G878" s="123"/>
      <c r="H878" s="123">
        <f t="shared" si="275"/>
        <v>114203.7</v>
      </c>
      <c r="I878" s="123"/>
      <c r="J878" s="313">
        <f t="shared" si="276"/>
        <v>114203.7</v>
      </c>
      <c r="K878" s="511">
        <f t="shared" si="266"/>
        <v>1</v>
      </c>
      <c r="L878" s="227"/>
      <c r="M878" s="511"/>
      <c r="N878" s="116"/>
      <c r="P878" s="116"/>
      <c r="Q878" s="116"/>
    </row>
    <row r="879" spans="1:17" s="106" customFormat="1" x14ac:dyDescent="0.25">
      <c r="A879" s="216" t="s">
        <v>130</v>
      </c>
      <c r="B879" s="1">
        <v>11</v>
      </c>
      <c r="C879" s="4" t="s">
        <v>7</v>
      </c>
      <c r="D879" s="211" t="s">
        <v>652</v>
      </c>
      <c r="E879" s="222">
        <v>620</v>
      </c>
      <c r="F879" s="123">
        <f>'ведом. 2024-2026'!AD479</f>
        <v>114203.7</v>
      </c>
      <c r="G879" s="227"/>
      <c r="H879" s="123">
        <f>'ведом. 2024-2026'!AE479</f>
        <v>114203.7</v>
      </c>
      <c r="I879" s="227"/>
      <c r="J879" s="313">
        <f>'ведом. 2024-2026'!AF479</f>
        <v>114203.7</v>
      </c>
      <c r="K879" s="511">
        <f t="shared" si="266"/>
        <v>1</v>
      </c>
      <c r="L879" s="227"/>
      <c r="M879" s="511"/>
      <c r="N879" s="116"/>
      <c r="P879" s="116"/>
      <c r="Q879" s="116"/>
    </row>
    <row r="880" spans="1:17" s="106" customFormat="1" ht="31.5" x14ac:dyDescent="0.25">
      <c r="A880" s="366" t="s">
        <v>811</v>
      </c>
      <c r="B880" s="349">
        <v>11</v>
      </c>
      <c r="C880" s="350" t="s">
        <v>7</v>
      </c>
      <c r="D880" s="570" t="s">
        <v>812</v>
      </c>
      <c r="E880" s="606"/>
      <c r="F880" s="123">
        <f t="shared" ref="F880:I882" si="278">F881</f>
        <v>1858</v>
      </c>
      <c r="G880" s="123">
        <f t="shared" si="278"/>
        <v>1858</v>
      </c>
      <c r="H880" s="123">
        <f t="shared" si="278"/>
        <v>1858</v>
      </c>
      <c r="I880" s="123">
        <f t="shared" si="278"/>
        <v>1858</v>
      </c>
      <c r="J880" s="313">
        <f t="shared" ref="J880:J882" si="279">J881</f>
        <v>1858</v>
      </c>
      <c r="K880" s="511">
        <f t="shared" si="266"/>
        <v>1</v>
      </c>
      <c r="L880" s="227">
        <f>L881</f>
        <v>1858</v>
      </c>
      <c r="M880" s="511">
        <f t="shared" si="267"/>
        <v>1</v>
      </c>
      <c r="N880" s="116"/>
      <c r="P880" s="116"/>
      <c r="Q880" s="116"/>
    </row>
    <row r="881" spans="1:17" s="106" customFormat="1" ht="31.5" x14ac:dyDescent="0.25">
      <c r="A881" s="366" t="s">
        <v>796</v>
      </c>
      <c r="B881" s="349">
        <v>11</v>
      </c>
      <c r="C881" s="350" t="s">
        <v>7</v>
      </c>
      <c r="D881" s="570" t="s">
        <v>813</v>
      </c>
      <c r="E881" s="606"/>
      <c r="F881" s="123">
        <f t="shared" si="278"/>
        <v>1858</v>
      </c>
      <c r="G881" s="123">
        <f t="shared" si="278"/>
        <v>1858</v>
      </c>
      <c r="H881" s="123">
        <f t="shared" si="278"/>
        <v>1858</v>
      </c>
      <c r="I881" s="123">
        <f t="shared" si="278"/>
        <v>1858</v>
      </c>
      <c r="J881" s="313">
        <f t="shared" si="279"/>
        <v>1858</v>
      </c>
      <c r="K881" s="511">
        <f t="shared" si="266"/>
        <v>1</v>
      </c>
      <c r="L881" s="227">
        <f>L882</f>
        <v>1858</v>
      </c>
      <c r="M881" s="511">
        <f t="shared" si="267"/>
        <v>1</v>
      </c>
      <c r="N881" s="116"/>
      <c r="P881" s="116"/>
      <c r="Q881" s="116"/>
    </row>
    <row r="882" spans="1:17" s="106" customFormat="1" ht="31.5" x14ac:dyDescent="0.25">
      <c r="A882" s="347" t="s">
        <v>61</v>
      </c>
      <c r="B882" s="349">
        <v>11</v>
      </c>
      <c r="C882" s="350" t="s">
        <v>7</v>
      </c>
      <c r="D882" s="570" t="s">
        <v>813</v>
      </c>
      <c r="E882" s="606">
        <v>600</v>
      </c>
      <c r="F882" s="123">
        <f t="shared" si="278"/>
        <v>1858</v>
      </c>
      <c r="G882" s="123">
        <f t="shared" si="278"/>
        <v>1858</v>
      </c>
      <c r="H882" s="123">
        <f t="shared" si="278"/>
        <v>1858</v>
      </c>
      <c r="I882" s="123">
        <f t="shared" si="278"/>
        <v>1858</v>
      </c>
      <c r="J882" s="313">
        <f t="shared" si="279"/>
        <v>1858</v>
      </c>
      <c r="K882" s="511">
        <f t="shared" si="266"/>
        <v>1</v>
      </c>
      <c r="L882" s="227">
        <f>L883</f>
        <v>1858</v>
      </c>
      <c r="M882" s="511">
        <f t="shared" si="267"/>
        <v>1</v>
      </c>
      <c r="N882" s="116"/>
      <c r="P882" s="116"/>
      <c r="Q882" s="116"/>
    </row>
    <row r="883" spans="1:17" s="106" customFormat="1" x14ac:dyDescent="0.25">
      <c r="A883" s="366" t="s">
        <v>130</v>
      </c>
      <c r="B883" s="349">
        <v>11</v>
      </c>
      <c r="C883" s="350" t="s">
        <v>7</v>
      </c>
      <c r="D883" s="570" t="s">
        <v>813</v>
      </c>
      <c r="E883" s="606">
        <v>620</v>
      </c>
      <c r="F883" s="123">
        <f>'ведом. 2024-2026'!AD483</f>
        <v>1858</v>
      </c>
      <c r="G883" s="227">
        <v>1858</v>
      </c>
      <c r="H883" s="123">
        <f>'ведом. 2024-2026'!AE483</f>
        <v>1858</v>
      </c>
      <c r="I883" s="227">
        <v>1858</v>
      </c>
      <c r="J883" s="313">
        <f>'ведом. 2024-2026'!AF483</f>
        <v>1858</v>
      </c>
      <c r="K883" s="511">
        <f t="shared" si="266"/>
        <v>1</v>
      </c>
      <c r="L883" s="227">
        <v>1858</v>
      </c>
      <c r="M883" s="511">
        <f t="shared" si="267"/>
        <v>1</v>
      </c>
      <c r="N883" s="116"/>
      <c r="P883" s="116"/>
      <c r="Q883" s="116"/>
    </row>
    <row r="884" spans="1:17" s="106" customFormat="1" x14ac:dyDescent="0.25">
      <c r="A884" s="277" t="s">
        <v>468</v>
      </c>
      <c r="B884" s="139">
        <v>13</v>
      </c>
      <c r="C884" s="145"/>
      <c r="D884" s="534"/>
      <c r="E884" s="592"/>
      <c r="F884" s="125">
        <f>F886</f>
        <v>319.90000000000003</v>
      </c>
      <c r="G884" s="242"/>
      <c r="H884" s="125">
        <f>H886</f>
        <v>319.90000000000003</v>
      </c>
      <c r="I884" s="242"/>
      <c r="J884" s="502">
        <f>J886</f>
        <v>319.89999999999998</v>
      </c>
      <c r="K884" s="511">
        <f t="shared" si="266"/>
        <v>0.99999999999999978</v>
      </c>
      <c r="L884" s="242"/>
      <c r="M884" s="511"/>
      <c r="N884" s="116"/>
      <c r="P884" s="116"/>
      <c r="Q884" s="116"/>
    </row>
    <row r="885" spans="1:17" s="106" customFormat="1" x14ac:dyDescent="0.25">
      <c r="A885" s="197" t="s">
        <v>469</v>
      </c>
      <c r="B885" s="11">
        <v>13</v>
      </c>
      <c r="C885" s="4" t="s">
        <v>29</v>
      </c>
      <c r="D885" s="568"/>
      <c r="E885" s="592"/>
      <c r="F885" s="123">
        <f>F886</f>
        <v>319.90000000000003</v>
      </c>
      <c r="G885" s="227"/>
      <c r="H885" s="123">
        <f>H886</f>
        <v>319.90000000000003</v>
      </c>
      <c r="I885" s="227"/>
      <c r="J885" s="313">
        <f>J886</f>
        <v>319.89999999999998</v>
      </c>
      <c r="K885" s="511">
        <f t="shared" si="266"/>
        <v>0.99999999999999978</v>
      </c>
      <c r="L885" s="227"/>
      <c r="M885" s="511"/>
      <c r="N885" s="116"/>
      <c r="P885" s="116"/>
      <c r="Q885" s="116"/>
    </row>
    <row r="886" spans="1:17" s="106" customFormat="1" x14ac:dyDescent="0.25">
      <c r="A886" s="199" t="s">
        <v>187</v>
      </c>
      <c r="B886" s="11">
        <v>13</v>
      </c>
      <c r="C886" s="4" t="s">
        <v>29</v>
      </c>
      <c r="D886" s="568" t="s">
        <v>113</v>
      </c>
      <c r="E886" s="220"/>
      <c r="F886" s="123">
        <f>F890</f>
        <v>319.90000000000003</v>
      </c>
      <c r="G886" s="227"/>
      <c r="H886" s="123">
        <f>H890</f>
        <v>319.90000000000003</v>
      </c>
      <c r="I886" s="227"/>
      <c r="J886" s="313">
        <f>J890</f>
        <v>319.89999999999998</v>
      </c>
      <c r="K886" s="511">
        <f t="shared" si="266"/>
        <v>0.99999999999999978</v>
      </c>
      <c r="L886" s="227"/>
      <c r="M886" s="511"/>
      <c r="N886" s="116"/>
      <c r="P886" s="116"/>
      <c r="Q886" s="116"/>
    </row>
    <row r="887" spans="1:17" s="106" customFormat="1" x14ac:dyDescent="0.25">
      <c r="A887" s="202" t="s">
        <v>569</v>
      </c>
      <c r="B887" s="11">
        <v>13</v>
      </c>
      <c r="C887" s="4" t="s">
        <v>29</v>
      </c>
      <c r="D887" s="568" t="s">
        <v>431</v>
      </c>
      <c r="E887" s="220"/>
      <c r="F887" s="123">
        <f>F890</f>
        <v>319.90000000000003</v>
      </c>
      <c r="G887" s="227"/>
      <c r="H887" s="123">
        <f>H890</f>
        <v>319.90000000000003</v>
      </c>
      <c r="I887" s="227"/>
      <c r="J887" s="313">
        <f>J890</f>
        <v>319.89999999999998</v>
      </c>
      <c r="K887" s="511">
        <f t="shared" si="266"/>
        <v>0.99999999999999978</v>
      </c>
      <c r="L887" s="227"/>
      <c r="M887" s="511"/>
      <c r="N887" s="116"/>
      <c r="P887" s="116"/>
      <c r="Q887" s="116"/>
    </row>
    <row r="888" spans="1:17" s="106" customFormat="1" ht="17.45" customHeight="1" x14ac:dyDescent="0.25">
      <c r="A888" s="201" t="s">
        <v>570</v>
      </c>
      <c r="B888" s="11">
        <v>13</v>
      </c>
      <c r="C888" s="4" t="s">
        <v>29</v>
      </c>
      <c r="D888" s="568" t="s">
        <v>433</v>
      </c>
      <c r="E888" s="220"/>
      <c r="F888" s="123">
        <f>F889</f>
        <v>319.90000000000003</v>
      </c>
      <c r="G888" s="227"/>
      <c r="H888" s="123">
        <f>H889</f>
        <v>319.90000000000003</v>
      </c>
      <c r="I888" s="227"/>
      <c r="J888" s="313">
        <f>J889</f>
        <v>319.89999999999998</v>
      </c>
      <c r="K888" s="511">
        <f t="shared" si="266"/>
        <v>0.99999999999999978</v>
      </c>
      <c r="L888" s="227"/>
      <c r="M888" s="511"/>
      <c r="N888" s="116"/>
      <c r="P888" s="116"/>
      <c r="Q888" s="116"/>
    </row>
    <row r="889" spans="1:17" s="106" customFormat="1" x14ac:dyDescent="0.25">
      <c r="A889" s="202" t="s">
        <v>190</v>
      </c>
      <c r="B889" s="11">
        <v>13</v>
      </c>
      <c r="C889" s="4" t="s">
        <v>29</v>
      </c>
      <c r="D889" s="568" t="s">
        <v>571</v>
      </c>
      <c r="E889" s="220"/>
      <c r="F889" s="123">
        <f>F890</f>
        <v>319.90000000000003</v>
      </c>
      <c r="G889" s="227"/>
      <c r="H889" s="123">
        <f>H890</f>
        <v>319.90000000000003</v>
      </c>
      <c r="I889" s="227"/>
      <c r="J889" s="313">
        <f>J890</f>
        <v>319.89999999999998</v>
      </c>
      <c r="K889" s="511">
        <f t="shared" si="266"/>
        <v>0.99999999999999978</v>
      </c>
      <c r="L889" s="227"/>
      <c r="M889" s="511"/>
      <c r="N889" s="116"/>
      <c r="P889" s="116"/>
      <c r="Q889" s="116"/>
    </row>
    <row r="890" spans="1:17" s="106" customFormat="1" x14ac:dyDescent="0.25">
      <c r="A890" s="197" t="s">
        <v>68</v>
      </c>
      <c r="B890" s="11">
        <v>13</v>
      </c>
      <c r="C890" s="4" t="s">
        <v>29</v>
      </c>
      <c r="D890" s="568" t="s">
        <v>571</v>
      </c>
      <c r="E890" s="220">
        <v>700</v>
      </c>
      <c r="F890" s="123">
        <f>F891</f>
        <v>319.90000000000003</v>
      </c>
      <c r="G890" s="227"/>
      <c r="H890" s="123">
        <f>H891</f>
        <v>319.90000000000003</v>
      </c>
      <c r="I890" s="227"/>
      <c r="J890" s="313">
        <f>J891</f>
        <v>319.89999999999998</v>
      </c>
      <c r="K890" s="511">
        <f t="shared" si="266"/>
        <v>0.99999999999999978</v>
      </c>
      <c r="L890" s="227"/>
      <c r="M890" s="511"/>
      <c r="N890" s="116"/>
      <c r="P890" s="116"/>
      <c r="Q890" s="116"/>
    </row>
    <row r="891" spans="1:17" s="106" customFormat="1" ht="17.25" thickBot="1" x14ac:dyDescent="0.3">
      <c r="A891" s="197" t="s">
        <v>372</v>
      </c>
      <c r="B891" s="11">
        <v>13</v>
      </c>
      <c r="C891" s="4" t="s">
        <v>29</v>
      </c>
      <c r="D891" s="568" t="s">
        <v>571</v>
      </c>
      <c r="E891" s="220">
        <v>730</v>
      </c>
      <c r="F891" s="126">
        <f>'ведом. 2024-2026'!AD491</f>
        <v>319.90000000000003</v>
      </c>
      <c r="G891" s="248"/>
      <c r="H891" s="126">
        <f>'ведом. 2024-2026'!AE491</f>
        <v>319.90000000000003</v>
      </c>
      <c r="I891" s="248"/>
      <c r="J891" s="507">
        <f>'ведом. 2024-2026'!AF491</f>
        <v>319.89999999999998</v>
      </c>
      <c r="K891" s="520">
        <f t="shared" si="266"/>
        <v>0.99999999999999978</v>
      </c>
      <c r="L891" s="248"/>
      <c r="M891" s="520"/>
      <c r="N891" s="116"/>
      <c r="P891" s="116"/>
      <c r="Q891" s="116"/>
    </row>
    <row r="892" spans="1:17" s="106" customFormat="1" ht="17.25" thickBot="1" x14ac:dyDescent="0.3">
      <c r="A892" s="282" t="s">
        <v>57</v>
      </c>
      <c r="B892" s="147"/>
      <c r="C892" s="236"/>
      <c r="D892" s="586"/>
      <c r="E892" s="228"/>
      <c r="F892" s="228">
        <f t="shared" ref="F892:L892" si="280">F884+F862+F811+F730+F548+F366+F279+F230+F215+F11+F539+F803</f>
        <v>5547712.5</v>
      </c>
      <c r="G892" s="228">
        <f t="shared" si="280"/>
        <v>3229955.6</v>
      </c>
      <c r="H892" s="228">
        <f t="shared" si="280"/>
        <v>5643793.0999999987</v>
      </c>
      <c r="I892" s="228">
        <f t="shared" si="280"/>
        <v>3226036.4000000004</v>
      </c>
      <c r="J892" s="228">
        <f t="shared" si="280"/>
        <v>5434885.7999999998</v>
      </c>
      <c r="K892" s="521">
        <f t="shared" si="266"/>
        <v>0.9629845927555355</v>
      </c>
      <c r="L892" s="228">
        <f t="shared" si="280"/>
        <v>3186810.2</v>
      </c>
      <c r="M892" s="521">
        <f t="shared" si="267"/>
        <v>0.98784074476035044</v>
      </c>
      <c r="N892" s="116"/>
      <c r="P892" s="116"/>
      <c r="Q892" s="116"/>
    </row>
    <row r="893" spans="1:17" x14ac:dyDescent="0.25">
      <c r="Q893" s="114"/>
    </row>
    <row r="894" spans="1:17" x14ac:dyDescent="0.25">
      <c r="M894" s="114"/>
      <c r="Q894" s="114"/>
    </row>
    <row r="895" spans="1:17" x14ac:dyDescent="0.25">
      <c r="A895" s="33"/>
      <c r="B895" s="102"/>
      <c r="C895" s="102"/>
      <c r="D895" s="103"/>
      <c r="E895" s="102"/>
      <c r="G895" s="24"/>
      <c r="H895" s="24"/>
      <c r="I895" s="24"/>
      <c r="L895" s="24"/>
      <c r="M895" s="24"/>
    </row>
    <row r="896" spans="1:17" x14ac:dyDescent="0.25">
      <c r="L896" s="24"/>
      <c r="M896" s="24"/>
    </row>
    <row r="897" spans="1:13" ht="12.75" x14ac:dyDescent="0.2">
      <c r="A897" s="37"/>
      <c r="B897" s="37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114"/>
    </row>
    <row r="898" spans="1:13" x14ac:dyDescent="0.25">
      <c r="M898" s="114"/>
    </row>
    <row r="899" spans="1:13" ht="12.75" x14ac:dyDescent="0.2">
      <c r="A899" s="37"/>
      <c r="B899" s="37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114"/>
    </row>
    <row r="901" spans="1:13" x14ac:dyDescent="0.25">
      <c r="K901" s="24" t="s">
        <v>380</v>
      </c>
    </row>
  </sheetData>
  <mergeCells count="4">
    <mergeCell ref="A7:M7"/>
    <mergeCell ref="F2:M2"/>
    <mergeCell ref="G3:L3"/>
    <mergeCell ref="K1:M1"/>
  </mergeCells>
  <phoneticPr fontId="29" type="noConversion"/>
  <pageMargins left="0.39370078740157483" right="0.39370078740157483" top="0.47244094488188981" bottom="0.47244094488188981" header="0.23622047244094491" footer="0.23622047244094491"/>
  <pageSetup paperSize="9" scale="55" fitToHeight="0" orientation="landscape" r:id="rId1"/>
  <headerFooter alignWithMargins="0">
    <oddFooter xml:space="preserve">&amp;R&amp;P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2159"/>
  <sheetViews>
    <sheetView view="pageBreakPreview" zoomScale="88" zoomScaleNormal="75" zoomScaleSheetLayoutView="88" workbookViewId="0">
      <selection activeCell="A5" sqref="A5:G5"/>
    </sheetView>
  </sheetViews>
  <sheetFormatPr defaultColWidth="9.28515625" defaultRowHeight="15.75" x14ac:dyDescent="0.25"/>
  <cols>
    <col min="1" max="1" width="97" style="23" customWidth="1"/>
    <col min="2" max="2" width="19.85546875" style="130" customWidth="1"/>
    <col min="3" max="3" width="6.7109375" style="130" customWidth="1"/>
    <col min="4" max="4" width="17.28515625" style="105" customWidth="1"/>
    <col min="5" max="5" width="15.7109375" style="105" customWidth="1"/>
    <col min="6" max="6" width="16.85546875" style="105" customWidth="1"/>
    <col min="7" max="7" width="13.5703125" style="106" customWidth="1"/>
    <col min="8" max="8" width="20" style="106" hidden="1" customWidth="1"/>
    <col min="9" max="31" width="9.28515625" style="106" hidden="1" customWidth="1"/>
    <col min="32" max="16384" width="9.28515625" style="106"/>
  </cols>
  <sheetData>
    <row r="1" spans="1:31" ht="79.5" customHeight="1" x14ac:dyDescent="0.2">
      <c r="B1" s="522"/>
      <c r="C1" s="609"/>
      <c r="D1" s="523"/>
      <c r="E1" s="622" t="s">
        <v>840</v>
      </c>
      <c r="F1" s="623"/>
      <c r="G1" s="623"/>
    </row>
    <row r="2" spans="1:31" ht="17.25" customHeight="1" x14ac:dyDescent="0.25">
      <c r="B2" s="20"/>
      <c r="C2" s="20"/>
      <c r="D2" s="27"/>
      <c r="E2" s="27"/>
      <c r="F2" s="27"/>
    </row>
    <row r="3" spans="1:31" x14ac:dyDescent="0.25">
      <c r="B3" s="113"/>
      <c r="C3" s="103"/>
      <c r="D3" s="10"/>
      <c r="E3" s="10"/>
      <c r="F3" s="10"/>
    </row>
    <row r="4" spans="1:31" x14ac:dyDescent="0.25">
      <c r="B4" s="113"/>
      <c r="C4" s="103"/>
      <c r="D4" s="10"/>
      <c r="E4" s="10"/>
      <c r="F4" s="10"/>
    </row>
    <row r="5" spans="1:31" ht="77.45" customHeight="1" x14ac:dyDescent="0.2">
      <c r="A5" s="624" t="s">
        <v>676</v>
      </c>
      <c r="B5" s="624"/>
      <c r="C5" s="624"/>
      <c r="D5" s="624"/>
      <c r="E5" s="624"/>
      <c r="F5" s="624"/>
      <c r="G5" s="624"/>
    </row>
    <row r="6" spans="1:31" x14ac:dyDescent="0.25">
      <c r="B6" s="20"/>
      <c r="C6" s="20"/>
      <c r="D6" s="27"/>
      <c r="E6" s="27"/>
      <c r="F6" s="27"/>
      <c r="G6" s="194"/>
      <c r="H6" s="36"/>
      <c r="I6" s="36"/>
      <c r="J6" s="36"/>
    </row>
    <row r="7" spans="1:31" ht="16.5" thickBot="1" x14ac:dyDescent="0.3">
      <c r="B7" s="20"/>
      <c r="C7" s="20"/>
      <c r="D7" s="27"/>
      <c r="E7" s="27"/>
      <c r="F7" s="27"/>
      <c r="G7" s="27" t="s">
        <v>150</v>
      </c>
      <c r="H7" s="36"/>
      <c r="I7" s="36"/>
      <c r="J7" s="36"/>
    </row>
    <row r="8" spans="1:31" ht="31.5" customHeight="1" thickBot="1" x14ac:dyDescent="0.25">
      <c r="A8" s="491" t="s">
        <v>73</v>
      </c>
      <c r="B8" s="491" t="s">
        <v>1</v>
      </c>
      <c r="C8" s="491" t="s">
        <v>63</v>
      </c>
      <c r="D8" s="492" t="s">
        <v>836</v>
      </c>
      <c r="E8" s="492" t="s">
        <v>833</v>
      </c>
      <c r="F8" s="492" t="s">
        <v>834</v>
      </c>
      <c r="G8" s="492" t="s">
        <v>835</v>
      </c>
      <c r="H8" s="36" t="s">
        <v>835</v>
      </c>
      <c r="I8" s="36"/>
      <c r="J8" s="36"/>
    </row>
    <row r="9" spans="1:31" ht="16.5" thickBot="1" x14ac:dyDescent="0.3">
      <c r="A9" s="494">
        <v>1</v>
      </c>
      <c r="B9" s="495">
        <v>2</v>
      </c>
      <c r="C9" s="119">
        <v>3</v>
      </c>
      <c r="D9" s="496">
        <v>4</v>
      </c>
      <c r="E9" s="496">
        <v>5</v>
      </c>
      <c r="F9" s="496">
        <v>6</v>
      </c>
      <c r="G9" s="556">
        <v>7</v>
      </c>
      <c r="H9" s="497"/>
      <c r="I9" s="498" t="s">
        <v>613</v>
      </c>
      <c r="J9" s="499"/>
      <c r="K9" s="500"/>
      <c r="L9" s="500"/>
      <c r="M9" s="500"/>
      <c r="N9" s="500"/>
      <c r="O9" s="500"/>
      <c r="P9" s="500"/>
      <c r="Q9" s="500"/>
      <c r="R9" s="500"/>
      <c r="S9" s="500"/>
      <c r="T9" s="500"/>
      <c r="U9" s="500"/>
      <c r="V9" s="500"/>
      <c r="W9" s="500"/>
      <c r="X9" s="500"/>
      <c r="Y9" s="500"/>
      <c r="Z9" s="500"/>
      <c r="AA9" s="500"/>
      <c r="AB9" s="500"/>
      <c r="AC9" s="500"/>
      <c r="AD9" s="500"/>
      <c r="AE9" s="500"/>
    </row>
    <row r="10" spans="1:31" x14ac:dyDescent="0.25">
      <c r="A10" s="493" t="s">
        <v>738</v>
      </c>
      <c r="B10" s="325" t="s">
        <v>742</v>
      </c>
      <c r="C10" s="527"/>
      <c r="D10" s="553">
        <f t="shared" ref="D10:F14" si="0">D11</f>
        <v>60</v>
      </c>
      <c r="E10" s="557">
        <f t="shared" si="0"/>
        <v>60</v>
      </c>
      <c r="F10" s="557">
        <f t="shared" si="0"/>
        <v>60</v>
      </c>
      <c r="G10" s="558">
        <f>F10/E10</f>
        <v>1</v>
      </c>
      <c r="H10" s="33"/>
      <c r="I10" s="36"/>
      <c r="J10" s="318"/>
    </row>
    <row r="11" spans="1:31" x14ac:dyDescent="0.25">
      <c r="A11" s="197" t="s">
        <v>739</v>
      </c>
      <c r="B11" s="226" t="s">
        <v>743</v>
      </c>
      <c r="C11" s="457"/>
      <c r="D11" s="28">
        <f t="shared" si="0"/>
        <v>60</v>
      </c>
      <c r="E11" s="28">
        <f t="shared" si="0"/>
        <v>60</v>
      </c>
      <c r="F11" s="28">
        <f t="shared" si="0"/>
        <v>60</v>
      </c>
      <c r="G11" s="559">
        <f t="shared" ref="G11:G74" si="1">F11/E11</f>
        <v>1</v>
      </c>
      <c r="H11" s="33"/>
      <c r="I11" s="36"/>
      <c r="J11" s="318"/>
    </row>
    <row r="12" spans="1:31" ht="31.5" x14ac:dyDescent="0.25">
      <c r="A12" s="197" t="s">
        <v>746</v>
      </c>
      <c r="B12" s="226" t="s">
        <v>745</v>
      </c>
      <c r="C12" s="457"/>
      <c r="D12" s="28">
        <f t="shared" si="0"/>
        <v>60</v>
      </c>
      <c r="E12" s="28">
        <f t="shared" si="0"/>
        <v>60</v>
      </c>
      <c r="F12" s="28">
        <f t="shared" si="0"/>
        <v>60</v>
      </c>
      <c r="G12" s="559">
        <f t="shared" si="1"/>
        <v>1</v>
      </c>
      <c r="H12" s="33"/>
      <c r="I12" s="36"/>
      <c r="J12" s="318"/>
    </row>
    <row r="13" spans="1:31" ht="47.25" x14ac:dyDescent="0.25">
      <c r="A13" s="197" t="s">
        <v>744</v>
      </c>
      <c r="B13" s="226" t="s">
        <v>747</v>
      </c>
      <c r="C13" s="457"/>
      <c r="D13" s="28">
        <f t="shared" si="0"/>
        <v>60</v>
      </c>
      <c r="E13" s="28">
        <f t="shared" si="0"/>
        <v>60</v>
      </c>
      <c r="F13" s="28">
        <f t="shared" si="0"/>
        <v>60</v>
      </c>
      <c r="G13" s="559">
        <f t="shared" si="1"/>
        <v>1</v>
      </c>
      <c r="H13" s="33"/>
      <c r="I13" s="36"/>
      <c r="J13" s="318"/>
    </row>
    <row r="14" spans="1:31" x14ac:dyDescent="0.25">
      <c r="A14" s="197" t="s">
        <v>98</v>
      </c>
      <c r="B14" s="226" t="s">
        <v>747</v>
      </c>
      <c r="C14" s="528">
        <v>300</v>
      </c>
      <c r="D14" s="554">
        <f t="shared" si="0"/>
        <v>60</v>
      </c>
      <c r="E14" s="554">
        <f t="shared" si="0"/>
        <v>60</v>
      </c>
      <c r="F14" s="554">
        <f t="shared" si="0"/>
        <v>60</v>
      </c>
      <c r="G14" s="559">
        <f t="shared" si="1"/>
        <v>1</v>
      </c>
      <c r="H14" s="33"/>
      <c r="I14" s="36"/>
      <c r="J14" s="318"/>
    </row>
    <row r="15" spans="1:31" x14ac:dyDescent="0.25">
      <c r="A15" s="197" t="s">
        <v>40</v>
      </c>
      <c r="B15" s="226" t="s">
        <v>747</v>
      </c>
      <c r="C15" s="528">
        <v>320</v>
      </c>
      <c r="D15" s="554">
        <f>'Функц. 2024-2026'!F810</f>
        <v>60</v>
      </c>
      <c r="E15" s="554">
        <f>'Функц. 2024-2026'!H810</f>
        <v>60</v>
      </c>
      <c r="F15" s="554">
        <f>'Функц. 2024-2026'!J810</f>
        <v>60</v>
      </c>
      <c r="G15" s="559">
        <f t="shared" si="1"/>
        <v>1</v>
      </c>
      <c r="H15" s="33"/>
      <c r="I15" s="36"/>
      <c r="J15" s="318"/>
    </row>
    <row r="16" spans="1:31" s="104" customFormat="1" x14ac:dyDescent="0.25">
      <c r="A16" s="317" t="s">
        <v>612</v>
      </c>
      <c r="B16" s="325" t="s">
        <v>115</v>
      </c>
      <c r="C16" s="529"/>
      <c r="D16" s="319">
        <f>D17+D29+D51+D87</f>
        <v>261308.3</v>
      </c>
      <c r="E16" s="319">
        <f>E17+E29+E51+E87</f>
        <v>261308.3</v>
      </c>
      <c r="F16" s="319">
        <f>F17+F29+F51+F87</f>
        <v>260701</v>
      </c>
      <c r="G16" s="558">
        <f t="shared" si="1"/>
        <v>0.99767592533417426</v>
      </c>
      <c r="H16" s="68"/>
    </row>
    <row r="17" spans="1:31" x14ac:dyDescent="0.25">
      <c r="A17" s="199" t="s">
        <v>523</v>
      </c>
      <c r="B17" s="226" t="s">
        <v>322</v>
      </c>
      <c r="C17" s="458"/>
      <c r="D17" s="26">
        <f>D18+D25</f>
        <v>29037.199999999993</v>
      </c>
      <c r="E17" s="26">
        <f t="shared" ref="E17" si="2">E18+E25</f>
        <v>29037.199999999993</v>
      </c>
      <c r="F17" s="26">
        <f t="shared" ref="F17:AE17" si="3">F18+F25</f>
        <v>29037.200000000001</v>
      </c>
      <c r="G17" s="559">
        <f t="shared" si="1"/>
        <v>1.0000000000000002</v>
      </c>
      <c r="H17" s="26">
        <f t="shared" si="3"/>
        <v>0</v>
      </c>
      <c r="I17" s="26">
        <f t="shared" si="3"/>
        <v>0</v>
      </c>
      <c r="J17" s="26">
        <f t="shared" si="3"/>
        <v>0</v>
      </c>
      <c r="K17" s="26">
        <f t="shared" si="3"/>
        <v>0</v>
      </c>
      <c r="L17" s="26">
        <f t="shared" si="3"/>
        <v>0</v>
      </c>
      <c r="M17" s="26">
        <f t="shared" si="3"/>
        <v>0</v>
      </c>
      <c r="N17" s="26">
        <f t="shared" si="3"/>
        <v>0</v>
      </c>
      <c r="O17" s="26">
        <f t="shared" si="3"/>
        <v>0</v>
      </c>
      <c r="P17" s="26">
        <f t="shared" si="3"/>
        <v>0</v>
      </c>
      <c r="Q17" s="26">
        <f t="shared" si="3"/>
        <v>0</v>
      </c>
      <c r="R17" s="26">
        <f t="shared" si="3"/>
        <v>0</v>
      </c>
      <c r="S17" s="26">
        <f t="shared" si="3"/>
        <v>0</v>
      </c>
      <c r="T17" s="26">
        <f t="shared" si="3"/>
        <v>0</v>
      </c>
      <c r="U17" s="26">
        <f t="shared" si="3"/>
        <v>0</v>
      </c>
      <c r="V17" s="26">
        <f t="shared" si="3"/>
        <v>0</v>
      </c>
      <c r="W17" s="26">
        <f t="shared" si="3"/>
        <v>0</v>
      </c>
      <c r="X17" s="26">
        <f t="shared" si="3"/>
        <v>0</v>
      </c>
      <c r="Y17" s="26">
        <f t="shared" si="3"/>
        <v>0</v>
      </c>
      <c r="Z17" s="26">
        <f t="shared" si="3"/>
        <v>0</v>
      </c>
      <c r="AA17" s="26">
        <f t="shared" si="3"/>
        <v>0</v>
      </c>
      <c r="AB17" s="26">
        <f t="shared" si="3"/>
        <v>0</v>
      </c>
      <c r="AC17" s="26">
        <f t="shared" si="3"/>
        <v>0</v>
      </c>
      <c r="AD17" s="26">
        <f t="shared" si="3"/>
        <v>0</v>
      </c>
      <c r="AE17" s="489">
        <f t="shared" si="3"/>
        <v>0</v>
      </c>
    </row>
    <row r="18" spans="1:31" x14ac:dyDescent="0.25">
      <c r="A18" s="214" t="s">
        <v>323</v>
      </c>
      <c r="B18" s="226" t="s">
        <v>324</v>
      </c>
      <c r="C18" s="458"/>
      <c r="D18" s="26">
        <f>D19+D22</f>
        <v>28857.199999999993</v>
      </c>
      <c r="E18" s="26">
        <f t="shared" ref="E18" si="4">E19+E22</f>
        <v>28857.199999999993</v>
      </c>
      <c r="F18" s="26">
        <f t="shared" ref="F18" si="5">F19+F22</f>
        <v>28857.200000000001</v>
      </c>
      <c r="G18" s="559">
        <f t="shared" si="1"/>
        <v>1.0000000000000002</v>
      </c>
      <c r="H18" s="68"/>
    </row>
    <row r="19" spans="1:31" ht="31.5" x14ac:dyDescent="0.25">
      <c r="A19" s="288" t="s">
        <v>259</v>
      </c>
      <c r="B19" s="226" t="s">
        <v>260</v>
      </c>
      <c r="C19" s="458"/>
      <c r="D19" s="26">
        <f t="shared" ref="D19:F20" si="6">D20</f>
        <v>27250.199999999993</v>
      </c>
      <c r="E19" s="26">
        <f t="shared" si="6"/>
        <v>27250.199999999993</v>
      </c>
      <c r="F19" s="26">
        <f t="shared" si="6"/>
        <v>27250.2</v>
      </c>
      <c r="G19" s="559">
        <f t="shared" si="1"/>
        <v>1.0000000000000002</v>
      </c>
      <c r="H19" s="68"/>
    </row>
    <row r="20" spans="1:31" ht="31.5" x14ac:dyDescent="0.25">
      <c r="A20" s="216" t="s">
        <v>61</v>
      </c>
      <c r="B20" s="226" t="s">
        <v>260</v>
      </c>
      <c r="C20" s="530">
        <v>600</v>
      </c>
      <c r="D20" s="26">
        <f t="shared" si="6"/>
        <v>27250.199999999993</v>
      </c>
      <c r="E20" s="26">
        <f t="shared" si="6"/>
        <v>27250.199999999993</v>
      </c>
      <c r="F20" s="26">
        <f t="shared" si="6"/>
        <v>27250.2</v>
      </c>
      <c r="G20" s="559">
        <f t="shared" si="1"/>
        <v>1.0000000000000002</v>
      </c>
      <c r="H20" s="68"/>
    </row>
    <row r="21" spans="1:31" x14ac:dyDescent="0.25">
      <c r="A21" s="216" t="s">
        <v>62</v>
      </c>
      <c r="B21" s="226" t="s">
        <v>260</v>
      </c>
      <c r="C21" s="530">
        <v>610</v>
      </c>
      <c r="D21" s="26">
        <f>'Функц. 2024-2026'!F737</f>
        <v>27250.199999999993</v>
      </c>
      <c r="E21" s="26">
        <f>'Функц. 2024-2026'!H737</f>
        <v>27250.199999999993</v>
      </c>
      <c r="F21" s="26">
        <f>'Функц. 2024-2026'!J737</f>
        <v>27250.2</v>
      </c>
      <c r="G21" s="559">
        <f t="shared" si="1"/>
        <v>1.0000000000000002</v>
      </c>
      <c r="H21" s="68"/>
    </row>
    <row r="22" spans="1:31" ht="31.5" x14ac:dyDescent="0.25">
      <c r="A22" s="347" t="s">
        <v>796</v>
      </c>
      <c r="B22" s="355" t="s">
        <v>803</v>
      </c>
      <c r="C22" s="531"/>
      <c r="D22" s="26">
        <f>D23</f>
        <v>1607</v>
      </c>
      <c r="E22" s="26">
        <f t="shared" ref="E22:F23" si="7">E23</f>
        <v>1607</v>
      </c>
      <c r="F22" s="26">
        <f t="shared" si="7"/>
        <v>1607</v>
      </c>
      <c r="G22" s="559">
        <f t="shared" si="1"/>
        <v>1</v>
      </c>
      <c r="H22" s="68"/>
    </row>
    <row r="23" spans="1:31" ht="31.5" x14ac:dyDescent="0.25">
      <c r="A23" s="347" t="s">
        <v>61</v>
      </c>
      <c r="B23" s="355" t="s">
        <v>803</v>
      </c>
      <c r="C23" s="532">
        <v>600</v>
      </c>
      <c r="D23" s="26">
        <f>D24</f>
        <v>1607</v>
      </c>
      <c r="E23" s="26">
        <f t="shared" si="7"/>
        <v>1607</v>
      </c>
      <c r="F23" s="26">
        <f t="shared" si="7"/>
        <v>1607</v>
      </c>
      <c r="G23" s="559">
        <f t="shared" si="1"/>
        <v>1</v>
      </c>
      <c r="H23" s="68"/>
    </row>
    <row r="24" spans="1:31" x14ac:dyDescent="0.25">
      <c r="A24" s="347" t="s">
        <v>62</v>
      </c>
      <c r="B24" s="355" t="s">
        <v>803</v>
      </c>
      <c r="C24" s="532">
        <v>610</v>
      </c>
      <c r="D24" s="26">
        <f>'Функц. 2024-2026'!F740</f>
        <v>1607</v>
      </c>
      <c r="E24" s="26">
        <f>'Функц. 2024-2026'!H740</f>
        <v>1607</v>
      </c>
      <c r="F24" s="26">
        <f>'Функц. 2024-2026'!J740</f>
        <v>1607</v>
      </c>
      <c r="G24" s="559">
        <f t="shared" si="1"/>
        <v>1</v>
      </c>
      <c r="H24" s="68"/>
    </row>
    <row r="25" spans="1:31" ht="47.25" x14ac:dyDescent="0.25">
      <c r="A25" s="347" t="s">
        <v>782</v>
      </c>
      <c r="B25" s="355" t="s">
        <v>783</v>
      </c>
      <c r="C25" s="532"/>
      <c r="D25" s="26">
        <f>D26</f>
        <v>180</v>
      </c>
      <c r="E25" s="26">
        <f t="shared" ref="E25:F27" si="8">E26</f>
        <v>180</v>
      </c>
      <c r="F25" s="26">
        <f t="shared" si="8"/>
        <v>180</v>
      </c>
      <c r="G25" s="559">
        <f t="shared" si="1"/>
        <v>1</v>
      </c>
      <c r="H25" s="68"/>
    </row>
    <row r="26" spans="1:31" x14ac:dyDescent="0.25">
      <c r="A26" s="347" t="s">
        <v>794</v>
      </c>
      <c r="B26" s="355" t="s">
        <v>795</v>
      </c>
      <c r="C26" s="532"/>
      <c r="D26" s="26">
        <f>D27</f>
        <v>180</v>
      </c>
      <c r="E26" s="26">
        <f t="shared" si="8"/>
        <v>180</v>
      </c>
      <c r="F26" s="26">
        <f t="shared" si="8"/>
        <v>180</v>
      </c>
      <c r="G26" s="559">
        <f t="shared" si="1"/>
        <v>1</v>
      </c>
      <c r="H26" s="26">
        <f t="shared" ref="H26:AE26" si="9">H27</f>
        <v>0</v>
      </c>
      <c r="I26" s="26">
        <f t="shared" si="9"/>
        <v>0</v>
      </c>
      <c r="J26" s="26">
        <f t="shared" si="9"/>
        <v>0</v>
      </c>
      <c r="K26" s="26">
        <f t="shared" si="9"/>
        <v>0</v>
      </c>
      <c r="L26" s="26">
        <f t="shared" si="9"/>
        <v>0</v>
      </c>
      <c r="M26" s="26">
        <f t="shared" si="9"/>
        <v>0</v>
      </c>
      <c r="N26" s="26">
        <f t="shared" si="9"/>
        <v>0</v>
      </c>
      <c r="O26" s="26">
        <f t="shared" si="9"/>
        <v>0</v>
      </c>
      <c r="P26" s="26">
        <f t="shared" si="9"/>
        <v>0</v>
      </c>
      <c r="Q26" s="26">
        <f t="shared" si="9"/>
        <v>0</v>
      </c>
      <c r="R26" s="26">
        <f t="shared" si="9"/>
        <v>0</v>
      </c>
      <c r="S26" s="26">
        <f t="shared" si="9"/>
        <v>0</v>
      </c>
      <c r="T26" s="26">
        <f t="shared" si="9"/>
        <v>0</v>
      </c>
      <c r="U26" s="26">
        <f t="shared" si="9"/>
        <v>0</v>
      </c>
      <c r="V26" s="26">
        <f t="shared" si="9"/>
        <v>0</v>
      </c>
      <c r="W26" s="26">
        <f t="shared" si="9"/>
        <v>0</v>
      </c>
      <c r="X26" s="26">
        <f t="shared" si="9"/>
        <v>0</v>
      </c>
      <c r="Y26" s="26">
        <f t="shared" si="9"/>
        <v>0</v>
      </c>
      <c r="Z26" s="26">
        <f t="shared" si="9"/>
        <v>0</v>
      </c>
      <c r="AA26" s="26">
        <f t="shared" si="9"/>
        <v>0</v>
      </c>
      <c r="AB26" s="26">
        <f t="shared" si="9"/>
        <v>0</v>
      </c>
      <c r="AC26" s="26">
        <f t="shared" si="9"/>
        <v>0</v>
      </c>
      <c r="AD26" s="26">
        <f t="shared" si="9"/>
        <v>0</v>
      </c>
      <c r="AE26" s="489">
        <f t="shared" si="9"/>
        <v>0</v>
      </c>
    </row>
    <row r="27" spans="1:31" ht="31.5" x14ac:dyDescent="0.25">
      <c r="A27" s="347" t="s">
        <v>61</v>
      </c>
      <c r="B27" s="355" t="s">
        <v>795</v>
      </c>
      <c r="C27" s="532">
        <v>600</v>
      </c>
      <c r="D27" s="26">
        <f>D28</f>
        <v>180</v>
      </c>
      <c r="E27" s="26">
        <f t="shared" si="8"/>
        <v>180</v>
      </c>
      <c r="F27" s="26">
        <f t="shared" si="8"/>
        <v>180</v>
      </c>
      <c r="G27" s="559">
        <f t="shared" si="1"/>
        <v>1</v>
      </c>
      <c r="H27" s="68"/>
    </row>
    <row r="28" spans="1:31" x14ac:dyDescent="0.25">
      <c r="A28" s="347" t="s">
        <v>62</v>
      </c>
      <c r="B28" s="355" t="s">
        <v>795</v>
      </c>
      <c r="C28" s="532">
        <v>610</v>
      </c>
      <c r="D28" s="26">
        <f>'Функц. 2024-2026'!F744</f>
        <v>180</v>
      </c>
      <c r="E28" s="26">
        <f>'Функц. 2024-2026'!H744</f>
        <v>180</v>
      </c>
      <c r="F28" s="26">
        <f>'Функц. 2024-2026'!J744</f>
        <v>180</v>
      </c>
      <c r="G28" s="559">
        <f t="shared" si="1"/>
        <v>1</v>
      </c>
      <c r="H28" s="68"/>
    </row>
    <row r="29" spans="1:31" x14ac:dyDescent="0.25">
      <c r="A29" s="214" t="s">
        <v>524</v>
      </c>
      <c r="B29" s="226" t="s">
        <v>141</v>
      </c>
      <c r="C29" s="533"/>
      <c r="D29" s="26">
        <f>D30+D47+D43</f>
        <v>59454.5</v>
      </c>
      <c r="E29" s="26">
        <f t="shared" ref="E29" si="10">E30+E47+E43</f>
        <v>59454.5</v>
      </c>
      <c r="F29" s="26">
        <f t="shared" ref="F29" si="11">F30+F47+F43</f>
        <v>59394</v>
      </c>
      <c r="G29" s="559">
        <f t="shared" si="1"/>
        <v>0.99898241512417063</v>
      </c>
      <c r="H29" s="68"/>
    </row>
    <row r="30" spans="1:31" ht="31.5" x14ac:dyDescent="0.25">
      <c r="A30" s="214" t="s">
        <v>261</v>
      </c>
      <c r="B30" s="226" t="s">
        <v>142</v>
      </c>
      <c r="C30" s="530"/>
      <c r="D30" s="26">
        <f>D31+D34+D37+D41</f>
        <v>38274.5</v>
      </c>
      <c r="E30" s="26">
        <f t="shared" ref="E30" si="12">E31+E34+E37+E41</f>
        <v>38274.5</v>
      </c>
      <c r="F30" s="26">
        <f t="shared" ref="F30" si="13">F31+F34+F37+F41</f>
        <v>38274.5</v>
      </c>
      <c r="G30" s="559">
        <f t="shared" si="1"/>
        <v>1</v>
      </c>
      <c r="H30" s="68"/>
    </row>
    <row r="31" spans="1:31" ht="31.5" x14ac:dyDescent="0.25">
      <c r="A31" s="288" t="s">
        <v>262</v>
      </c>
      <c r="B31" s="226" t="s">
        <v>263</v>
      </c>
      <c r="C31" s="530"/>
      <c r="D31" s="26">
        <f t="shared" ref="D31:F32" si="14">D32</f>
        <v>1000</v>
      </c>
      <c r="E31" s="26">
        <f t="shared" si="14"/>
        <v>1000</v>
      </c>
      <c r="F31" s="26">
        <f t="shared" si="14"/>
        <v>1000</v>
      </c>
      <c r="G31" s="559">
        <f t="shared" si="1"/>
        <v>1</v>
      </c>
      <c r="H31" s="68"/>
    </row>
    <row r="32" spans="1:31" ht="31.5" x14ac:dyDescent="0.25">
      <c r="A32" s="216" t="s">
        <v>61</v>
      </c>
      <c r="B32" s="226" t="s">
        <v>263</v>
      </c>
      <c r="C32" s="530">
        <v>600</v>
      </c>
      <c r="D32" s="26">
        <f t="shared" si="14"/>
        <v>1000</v>
      </c>
      <c r="E32" s="26">
        <f t="shared" si="14"/>
        <v>1000</v>
      </c>
      <c r="F32" s="26">
        <f t="shared" si="14"/>
        <v>1000</v>
      </c>
      <c r="G32" s="559">
        <f t="shared" si="1"/>
        <v>1</v>
      </c>
      <c r="H32" s="68"/>
    </row>
    <row r="33" spans="1:8" x14ac:dyDescent="0.25">
      <c r="A33" s="216" t="s">
        <v>62</v>
      </c>
      <c r="B33" s="226" t="s">
        <v>263</v>
      </c>
      <c r="C33" s="530">
        <v>610</v>
      </c>
      <c r="D33" s="26">
        <f>'Функц. 2024-2026'!F749</f>
        <v>1000</v>
      </c>
      <c r="E33" s="26">
        <f>'Функц. 2024-2026'!H749</f>
        <v>1000</v>
      </c>
      <c r="F33" s="26">
        <f>'Функц. 2024-2026'!J749</f>
        <v>1000</v>
      </c>
      <c r="G33" s="559">
        <f t="shared" si="1"/>
        <v>1</v>
      </c>
      <c r="H33" s="68"/>
    </row>
    <row r="34" spans="1:8" ht="31.5" x14ac:dyDescent="0.25">
      <c r="A34" s="216" t="s">
        <v>264</v>
      </c>
      <c r="B34" s="226" t="s">
        <v>265</v>
      </c>
      <c r="C34" s="530"/>
      <c r="D34" s="26">
        <f t="shared" ref="D34:F35" si="15">D35</f>
        <v>34515.9</v>
      </c>
      <c r="E34" s="26">
        <f t="shared" si="15"/>
        <v>34515.9</v>
      </c>
      <c r="F34" s="26">
        <f t="shared" si="15"/>
        <v>34515.9</v>
      </c>
      <c r="G34" s="559">
        <f t="shared" si="1"/>
        <v>1</v>
      </c>
      <c r="H34" s="68"/>
    </row>
    <row r="35" spans="1:8" ht="31.5" x14ac:dyDescent="0.25">
      <c r="A35" s="216" t="s">
        <v>61</v>
      </c>
      <c r="B35" s="226" t="s">
        <v>265</v>
      </c>
      <c r="C35" s="530">
        <v>600</v>
      </c>
      <c r="D35" s="26">
        <f t="shared" si="15"/>
        <v>34515.9</v>
      </c>
      <c r="E35" s="26">
        <f t="shared" si="15"/>
        <v>34515.9</v>
      </c>
      <c r="F35" s="26">
        <f t="shared" si="15"/>
        <v>34515.9</v>
      </c>
      <c r="G35" s="559">
        <f t="shared" si="1"/>
        <v>1</v>
      </c>
      <c r="H35" s="68"/>
    </row>
    <row r="36" spans="1:8" x14ac:dyDescent="0.25">
      <c r="A36" s="216" t="s">
        <v>62</v>
      </c>
      <c r="B36" s="226" t="s">
        <v>265</v>
      </c>
      <c r="C36" s="530">
        <v>610</v>
      </c>
      <c r="D36" s="26">
        <f>'Функц. 2024-2026'!F752</f>
        <v>34515.9</v>
      </c>
      <c r="E36" s="26">
        <f>'Функц. 2024-2026'!H752</f>
        <v>34515.9</v>
      </c>
      <c r="F36" s="26">
        <f>'Функц. 2024-2026'!J752</f>
        <v>34515.9</v>
      </c>
      <c r="G36" s="559">
        <f t="shared" si="1"/>
        <v>1</v>
      </c>
      <c r="H36" s="68"/>
    </row>
    <row r="37" spans="1:8" ht="31.5" x14ac:dyDescent="0.25">
      <c r="A37" s="268" t="s">
        <v>534</v>
      </c>
      <c r="B37" s="226" t="s">
        <v>424</v>
      </c>
      <c r="C37" s="530"/>
      <c r="D37" s="26">
        <f t="shared" ref="D37:F38" si="16">D38</f>
        <v>360.6</v>
      </c>
      <c r="E37" s="26">
        <f t="shared" si="16"/>
        <v>360.6</v>
      </c>
      <c r="F37" s="26">
        <f t="shared" si="16"/>
        <v>360.6</v>
      </c>
      <c r="G37" s="559">
        <f t="shared" si="1"/>
        <v>1</v>
      </c>
      <c r="H37" s="68"/>
    </row>
    <row r="38" spans="1:8" ht="31.5" x14ac:dyDescent="0.25">
      <c r="A38" s="268" t="s">
        <v>61</v>
      </c>
      <c r="B38" s="226" t="s">
        <v>424</v>
      </c>
      <c r="C38" s="530">
        <v>600</v>
      </c>
      <c r="D38" s="26">
        <f t="shared" si="16"/>
        <v>360.6</v>
      </c>
      <c r="E38" s="26">
        <f t="shared" si="16"/>
        <v>360.6</v>
      </c>
      <c r="F38" s="26">
        <f t="shared" si="16"/>
        <v>360.6</v>
      </c>
      <c r="G38" s="559">
        <f t="shared" si="1"/>
        <v>1</v>
      </c>
      <c r="H38" s="68"/>
    </row>
    <row r="39" spans="1:8" x14ac:dyDescent="0.25">
      <c r="A39" s="268" t="s">
        <v>62</v>
      </c>
      <c r="B39" s="226" t="s">
        <v>424</v>
      </c>
      <c r="C39" s="530">
        <v>610</v>
      </c>
      <c r="D39" s="26">
        <f>'Функц. 2024-2026'!F755</f>
        <v>360.6</v>
      </c>
      <c r="E39" s="26">
        <f>'Функц. 2024-2026'!H755</f>
        <v>360.6</v>
      </c>
      <c r="F39" s="26">
        <f>'Функц. 2024-2026'!J755</f>
        <v>360.6</v>
      </c>
      <c r="G39" s="559">
        <f t="shared" si="1"/>
        <v>1</v>
      </c>
      <c r="H39" s="68"/>
    </row>
    <row r="40" spans="1:8" ht="31.5" x14ac:dyDescent="0.25">
      <c r="A40" s="358" t="s">
        <v>796</v>
      </c>
      <c r="B40" s="355" t="s">
        <v>804</v>
      </c>
      <c r="C40" s="531"/>
      <c r="D40" s="26">
        <f>D41</f>
        <v>2398</v>
      </c>
      <c r="E40" s="26">
        <f t="shared" ref="E40:F41" si="17">E41</f>
        <v>2398</v>
      </c>
      <c r="F40" s="26">
        <f t="shared" si="17"/>
        <v>2398</v>
      </c>
      <c r="G40" s="559">
        <f t="shared" si="1"/>
        <v>1</v>
      </c>
      <c r="H40" s="68"/>
    </row>
    <row r="41" spans="1:8" ht="31.5" x14ac:dyDescent="0.25">
      <c r="A41" s="347" t="s">
        <v>61</v>
      </c>
      <c r="B41" s="355" t="s">
        <v>804</v>
      </c>
      <c r="C41" s="532">
        <v>600</v>
      </c>
      <c r="D41" s="26">
        <f>D42</f>
        <v>2398</v>
      </c>
      <c r="E41" s="26">
        <f t="shared" si="17"/>
        <v>2398</v>
      </c>
      <c r="F41" s="26">
        <f t="shared" si="17"/>
        <v>2398</v>
      </c>
      <c r="G41" s="559">
        <f t="shared" si="1"/>
        <v>1</v>
      </c>
      <c r="H41" s="68"/>
    </row>
    <row r="42" spans="1:8" x14ac:dyDescent="0.25">
      <c r="A42" s="347" t="s">
        <v>62</v>
      </c>
      <c r="B42" s="355" t="s">
        <v>804</v>
      </c>
      <c r="C42" s="532">
        <v>610</v>
      </c>
      <c r="D42" s="26">
        <f>'Функц. 2024-2026'!F758</f>
        <v>2398</v>
      </c>
      <c r="E42" s="26">
        <f>'Функц. 2024-2026'!H758</f>
        <v>2398</v>
      </c>
      <c r="F42" s="26">
        <f>'Функц. 2024-2026'!J758</f>
        <v>2398</v>
      </c>
      <c r="G42" s="559">
        <f t="shared" si="1"/>
        <v>1</v>
      </c>
      <c r="H42" s="68"/>
    </row>
    <row r="43" spans="1:8" ht="47.25" x14ac:dyDescent="0.25">
      <c r="A43" s="268" t="s">
        <v>765</v>
      </c>
      <c r="B43" s="226" t="s">
        <v>767</v>
      </c>
      <c r="C43" s="457"/>
      <c r="D43" s="26">
        <f>D44</f>
        <v>1180</v>
      </c>
      <c r="E43" s="26">
        <f t="shared" ref="E43:F43" si="18">E44</f>
        <v>1180</v>
      </c>
      <c r="F43" s="26">
        <f t="shared" si="18"/>
        <v>1119.5</v>
      </c>
      <c r="G43" s="559">
        <f t="shared" si="1"/>
        <v>0.94872881355932204</v>
      </c>
      <c r="H43" s="68"/>
    </row>
    <row r="44" spans="1:8" x14ac:dyDescent="0.25">
      <c r="A44" s="268" t="s">
        <v>766</v>
      </c>
      <c r="B44" s="226" t="s">
        <v>768</v>
      </c>
      <c r="C44" s="457"/>
      <c r="D44" s="26">
        <f>D45</f>
        <v>1180</v>
      </c>
      <c r="E44" s="26">
        <f>E45</f>
        <v>1180</v>
      </c>
      <c r="F44" s="26">
        <f t="shared" ref="F44" si="19">F45</f>
        <v>1119.5</v>
      </c>
      <c r="G44" s="559">
        <f t="shared" si="1"/>
        <v>0.94872881355932204</v>
      </c>
      <c r="H44" s="68"/>
    </row>
    <row r="45" spans="1:8" ht="31.5" x14ac:dyDescent="0.25">
      <c r="A45" s="268" t="s">
        <v>61</v>
      </c>
      <c r="B45" s="226" t="s">
        <v>768</v>
      </c>
      <c r="C45" s="530">
        <v>600</v>
      </c>
      <c r="D45" s="26">
        <f>D46</f>
        <v>1180</v>
      </c>
      <c r="E45" s="26">
        <f>E46</f>
        <v>1180</v>
      </c>
      <c r="F45" s="26">
        <f>F46</f>
        <v>1119.5</v>
      </c>
      <c r="G45" s="559">
        <f t="shared" si="1"/>
        <v>0.94872881355932204</v>
      </c>
      <c r="H45" s="68"/>
    </row>
    <row r="46" spans="1:8" x14ac:dyDescent="0.25">
      <c r="A46" s="268" t="s">
        <v>62</v>
      </c>
      <c r="B46" s="226" t="s">
        <v>768</v>
      </c>
      <c r="C46" s="530">
        <v>610</v>
      </c>
      <c r="D46" s="26">
        <f>'Функц. 2024-2026'!F762</f>
        <v>1180</v>
      </c>
      <c r="E46" s="26">
        <f>'Функц. 2024-2026'!H762</f>
        <v>1180</v>
      </c>
      <c r="F46" s="26">
        <f>'Функц. 2024-2026'!J762</f>
        <v>1119.5</v>
      </c>
      <c r="G46" s="559">
        <f t="shared" si="1"/>
        <v>0.94872881355932204</v>
      </c>
      <c r="H46" s="68"/>
    </row>
    <row r="47" spans="1:8" x14ac:dyDescent="0.25">
      <c r="A47" s="268" t="s">
        <v>691</v>
      </c>
      <c r="B47" s="226" t="s">
        <v>693</v>
      </c>
      <c r="C47" s="457"/>
      <c r="D47" s="26">
        <f>D48</f>
        <v>20000</v>
      </c>
      <c r="E47" s="26">
        <f t="shared" ref="E47:F49" si="20">E48</f>
        <v>20000</v>
      </c>
      <c r="F47" s="26">
        <f t="shared" si="20"/>
        <v>20000</v>
      </c>
      <c r="G47" s="559">
        <f t="shared" si="1"/>
        <v>1</v>
      </c>
      <c r="H47" s="68"/>
    </row>
    <row r="48" spans="1:8" x14ac:dyDescent="0.25">
      <c r="A48" s="268" t="s">
        <v>692</v>
      </c>
      <c r="B48" s="226" t="s">
        <v>694</v>
      </c>
      <c r="C48" s="457"/>
      <c r="D48" s="26">
        <f>D49</f>
        <v>20000</v>
      </c>
      <c r="E48" s="26">
        <f t="shared" si="20"/>
        <v>20000</v>
      </c>
      <c r="F48" s="26">
        <f t="shared" si="20"/>
        <v>20000</v>
      </c>
      <c r="G48" s="559">
        <f t="shared" si="1"/>
        <v>1</v>
      </c>
      <c r="H48" s="68"/>
    </row>
    <row r="49" spans="1:8" ht="31.5" x14ac:dyDescent="0.25">
      <c r="A49" s="268" t="s">
        <v>61</v>
      </c>
      <c r="B49" s="226" t="s">
        <v>694</v>
      </c>
      <c r="C49" s="457">
        <v>600</v>
      </c>
      <c r="D49" s="26">
        <f>D50</f>
        <v>20000</v>
      </c>
      <c r="E49" s="26">
        <f t="shared" si="20"/>
        <v>20000</v>
      </c>
      <c r="F49" s="26">
        <f t="shared" si="20"/>
        <v>20000</v>
      </c>
      <c r="G49" s="559">
        <f t="shared" si="1"/>
        <v>1</v>
      </c>
      <c r="H49" s="68"/>
    </row>
    <row r="50" spans="1:8" x14ac:dyDescent="0.25">
      <c r="A50" s="268" t="s">
        <v>62</v>
      </c>
      <c r="B50" s="226" t="s">
        <v>694</v>
      </c>
      <c r="C50" s="457">
        <v>610</v>
      </c>
      <c r="D50" s="26">
        <f>'Функц. 2024-2026'!F766</f>
        <v>20000</v>
      </c>
      <c r="E50" s="26">
        <f>'Функц. 2024-2026'!H766</f>
        <v>20000</v>
      </c>
      <c r="F50" s="26">
        <f>'Функц. 2024-2026'!J766</f>
        <v>20000</v>
      </c>
      <c r="G50" s="559">
        <f t="shared" si="1"/>
        <v>1</v>
      </c>
      <c r="H50" s="68"/>
    </row>
    <row r="51" spans="1:8" ht="31.5" x14ac:dyDescent="0.25">
      <c r="A51" s="199" t="s">
        <v>525</v>
      </c>
      <c r="B51" s="226" t="s">
        <v>266</v>
      </c>
      <c r="C51" s="530"/>
      <c r="D51" s="26">
        <f>D52+D69+D80+D76</f>
        <v>101084.09999999999</v>
      </c>
      <c r="E51" s="26">
        <f t="shared" ref="E51" si="21">E52+E69+E80+E76</f>
        <v>101084.09999999999</v>
      </c>
      <c r="F51" s="26">
        <f t="shared" ref="F51" si="22">F52+F69+F80+F76</f>
        <v>100541.5</v>
      </c>
      <c r="G51" s="559">
        <f t="shared" si="1"/>
        <v>0.99463219240216816</v>
      </c>
      <c r="H51" s="68"/>
    </row>
    <row r="52" spans="1:8" x14ac:dyDescent="0.25">
      <c r="A52" s="199" t="s">
        <v>370</v>
      </c>
      <c r="B52" s="226" t="s">
        <v>526</v>
      </c>
      <c r="C52" s="530"/>
      <c r="D52" s="26">
        <f>D53+D62</f>
        <v>91005</v>
      </c>
      <c r="E52" s="26">
        <f>E53+E62</f>
        <v>91005</v>
      </c>
      <c r="F52" s="26">
        <f>F53+F62</f>
        <v>90560.1</v>
      </c>
      <c r="G52" s="559">
        <f t="shared" si="1"/>
        <v>0.99511125762320762</v>
      </c>
      <c r="H52" s="68"/>
    </row>
    <row r="53" spans="1:8" x14ac:dyDescent="0.25">
      <c r="A53" s="288" t="s">
        <v>267</v>
      </c>
      <c r="B53" s="226" t="s">
        <v>594</v>
      </c>
      <c r="C53" s="530"/>
      <c r="D53" s="26">
        <f>D54+D59</f>
        <v>14502</v>
      </c>
      <c r="E53" s="26">
        <f>E54+E59</f>
        <v>14502</v>
      </c>
      <c r="F53" s="26">
        <f>F54+F59</f>
        <v>14072.6</v>
      </c>
      <c r="G53" s="559">
        <f t="shared" si="1"/>
        <v>0.97039029099434559</v>
      </c>
      <c r="H53" s="68"/>
    </row>
    <row r="54" spans="1:8" ht="31.5" x14ac:dyDescent="0.25">
      <c r="A54" s="216" t="s">
        <v>268</v>
      </c>
      <c r="B54" s="226" t="s">
        <v>595</v>
      </c>
      <c r="C54" s="530"/>
      <c r="D54" s="26">
        <f>D57+D55</f>
        <v>14067</v>
      </c>
      <c r="E54" s="26">
        <f>E57+E55</f>
        <v>14067</v>
      </c>
      <c r="F54" s="26">
        <f>F57+F55</f>
        <v>13666.6</v>
      </c>
      <c r="G54" s="559">
        <f t="shared" si="1"/>
        <v>0.97153621952086444</v>
      </c>
      <c r="H54" s="68"/>
    </row>
    <row r="55" spans="1:8" x14ac:dyDescent="0.25">
      <c r="A55" s="216" t="s">
        <v>121</v>
      </c>
      <c r="B55" s="226" t="s">
        <v>595</v>
      </c>
      <c r="C55" s="530">
        <v>200</v>
      </c>
      <c r="D55" s="26">
        <f>D56</f>
        <v>2300</v>
      </c>
      <c r="E55" s="26">
        <f>E56</f>
        <v>2300</v>
      </c>
      <c r="F55" s="26">
        <f>F56</f>
        <v>2300</v>
      </c>
      <c r="G55" s="559">
        <f t="shared" si="1"/>
        <v>1</v>
      </c>
      <c r="H55" s="68"/>
    </row>
    <row r="56" spans="1:8" x14ac:dyDescent="0.25">
      <c r="A56" s="216" t="s">
        <v>52</v>
      </c>
      <c r="B56" s="226" t="s">
        <v>595</v>
      </c>
      <c r="C56" s="530">
        <v>240</v>
      </c>
      <c r="D56" s="26">
        <f>'Функц. 2024-2026'!F772</f>
        <v>2300</v>
      </c>
      <c r="E56" s="26">
        <f>'Функц. 2024-2026'!H772</f>
        <v>2300</v>
      </c>
      <c r="F56" s="26">
        <f>'Функц. 2024-2026'!J772</f>
        <v>2300</v>
      </c>
      <c r="G56" s="559">
        <f t="shared" si="1"/>
        <v>1</v>
      </c>
      <c r="H56" s="68"/>
    </row>
    <row r="57" spans="1:8" ht="31.5" x14ac:dyDescent="0.25">
      <c r="A57" s="216" t="s">
        <v>61</v>
      </c>
      <c r="B57" s="226" t="s">
        <v>595</v>
      </c>
      <c r="C57" s="530">
        <v>600</v>
      </c>
      <c r="D57" s="26">
        <f>D58</f>
        <v>11767</v>
      </c>
      <c r="E57" s="26">
        <f>E58</f>
        <v>11767</v>
      </c>
      <c r="F57" s="26">
        <f>F58</f>
        <v>11366.6</v>
      </c>
      <c r="G57" s="559">
        <f t="shared" si="1"/>
        <v>0.96597263533610944</v>
      </c>
      <c r="H57" s="68"/>
    </row>
    <row r="58" spans="1:8" x14ac:dyDescent="0.25">
      <c r="A58" s="216" t="s">
        <v>62</v>
      </c>
      <c r="B58" s="226" t="s">
        <v>595</v>
      </c>
      <c r="C58" s="530">
        <v>610</v>
      </c>
      <c r="D58" s="26">
        <f>'Функц. 2024-2026'!F774</f>
        <v>11767</v>
      </c>
      <c r="E58" s="26">
        <f>'Функц. 2024-2026'!H774</f>
        <v>11767</v>
      </c>
      <c r="F58" s="26">
        <f>'Функц. 2024-2026'!J774</f>
        <v>11366.6</v>
      </c>
      <c r="G58" s="559">
        <f t="shared" si="1"/>
        <v>0.96597263533610944</v>
      </c>
      <c r="H58" s="68"/>
    </row>
    <row r="59" spans="1:8" ht="31.5" x14ac:dyDescent="0.25">
      <c r="A59" s="197" t="s">
        <v>269</v>
      </c>
      <c r="B59" s="226" t="s">
        <v>596</v>
      </c>
      <c r="C59" s="530"/>
      <c r="D59" s="26">
        <f t="shared" ref="D59:F60" si="23">D60</f>
        <v>435</v>
      </c>
      <c r="E59" s="26">
        <f t="shared" si="23"/>
        <v>435</v>
      </c>
      <c r="F59" s="26">
        <f t="shared" si="23"/>
        <v>406</v>
      </c>
      <c r="G59" s="559">
        <f t="shared" si="1"/>
        <v>0.93333333333333335</v>
      </c>
      <c r="H59" s="68"/>
    </row>
    <row r="60" spans="1:8" ht="31.5" x14ac:dyDescent="0.25">
      <c r="A60" s="216" t="s">
        <v>61</v>
      </c>
      <c r="B60" s="226" t="s">
        <v>596</v>
      </c>
      <c r="C60" s="530">
        <v>600</v>
      </c>
      <c r="D60" s="26">
        <f t="shared" si="23"/>
        <v>435</v>
      </c>
      <c r="E60" s="26">
        <f t="shared" si="23"/>
        <v>435</v>
      </c>
      <c r="F60" s="26">
        <f t="shared" si="23"/>
        <v>406</v>
      </c>
      <c r="G60" s="559">
        <f t="shared" si="1"/>
        <v>0.93333333333333335</v>
      </c>
      <c r="H60" s="68"/>
    </row>
    <row r="61" spans="1:8" x14ac:dyDescent="0.25">
      <c r="A61" s="216" t="s">
        <v>62</v>
      </c>
      <c r="B61" s="226" t="s">
        <v>596</v>
      </c>
      <c r="C61" s="530">
        <v>610</v>
      </c>
      <c r="D61" s="26">
        <f>'Функц. 2024-2026'!F777</f>
        <v>435</v>
      </c>
      <c r="E61" s="26">
        <f>'Функц. 2024-2026'!H777</f>
        <v>435</v>
      </c>
      <c r="F61" s="26">
        <f>'Функц. 2024-2026'!J777</f>
        <v>406</v>
      </c>
      <c r="G61" s="559">
        <f t="shared" si="1"/>
        <v>0.93333333333333335</v>
      </c>
      <c r="H61" s="68"/>
    </row>
    <row r="62" spans="1:8" ht="31.5" x14ac:dyDescent="0.25">
      <c r="A62" s="200" t="s">
        <v>371</v>
      </c>
      <c r="B62" s="226" t="s">
        <v>527</v>
      </c>
      <c r="C62" s="530"/>
      <c r="D62" s="26">
        <f>D63+D66</f>
        <v>76503</v>
      </c>
      <c r="E62" s="26">
        <f>E63+E66</f>
        <v>76503</v>
      </c>
      <c r="F62" s="26">
        <f>F63+F66</f>
        <v>76487.5</v>
      </c>
      <c r="G62" s="559">
        <f t="shared" si="1"/>
        <v>0.9997973935662654</v>
      </c>
      <c r="H62" s="68"/>
    </row>
    <row r="63" spans="1:8" ht="47.25" x14ac:dyDescent="0.25">
      <c r="A63" s="197" t="str">
        <f>'Функц. 2024-2026'!A779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3" s="226" t="s">
        <v>528</v>
      </c>
      <c r="C63" s="530"/>
      <c r="D63" s="26">
        <f t="shared" ref="D63:F64" si="24">D64</f>
        <v>38762.699999999997</v>
      </c>
      <c r="E63" s="26">
        <f t="shared" si="24"/>
        <v>38762.699999999997</v>
      </c>
      <c r="F63" s="26">
        <f t="shared" si="24"/>
        <v>38747.1</v>
      </c>
      <c r="G63" s="559">
        <f t="shared" si="1"/>
        <v>0.9995975512541696</v>
      </c>
      <c r="H63" s="68"/>
    </row>
    <row r="64" spans="1:8" ht="31.5" x14ac:dyDescent="0.25">
      <c r="A64" s="197" t="str">
        <f>'Функц. 2024-2026'!A780</f>
        <v>Предоставление субсидий бюджетным, автономным учреждениям и иным некоммерческим организациям</v>
      </c>
      <c r="B64" s="226" t="s">
        <v>528</v>
      </c>
      <c r="C64" s="530">
        <v>600</v>
      </c>
      <c r="D64" s="26">
        <f t="shared" si="24"/>
        <v>38762.699999999997</v>
      </c>
      <c r="E64" s="26">
        <f t="shared" si="24"/>
        <v>38762.699999999997</v>
      </c>
      <c r="F64" s="26">
        <f t="shared" si="24"/>
        <v>38747.1</v>
      </c>
      <c r="G64" s="559">
        <f t="shared" si="1"/>
        <v>0.9995975512541696</v>
      </c>
      <c r="H64" s="68"/>
    </row>
    <row r="65" spans="1:31" x14ac:dyDescent="0.25">
      <c r="A65" s="197" t="str">
        <f>'Функц. 2024-2026'!A781</f>
        <v>Субсидии бюджетным учреждениям</v>
      </c>
      <c r="B65" s="226" t="s">
        <v>528</v>
      </c>
      <c r="C65" s="530">
        <v>610</v>
      </c>
      <c r="D65" s="26">
        <f>'Функц. 2024-2026'!F781</f>
        <v>38762.699999999997</v>
      </c>
      <c r="E65" s="26">
        <f>'Функц. 2024-2026'!H781</f>
        <v>38762.699999999997</v>
      </c>
      <c r="F65" s="26">
        <f>'Функц. 2024-2026'!J781</f>
        <v>38747.1</v>
      </c>
      <c r="G65" s="559">
        <f t="shared" si="1"/>
        <v>0.9995975512541696</v>
      </c>
      <c r="H65" s="68"/>
    </row>
    <row r="66" spans="1:31" ht="47.25" x14ac:dyDescent="0.25">
      <c r="A66" s="197" t="str">
        <f>'Функц. 2024-2026'!A782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6" s="226" t="s">
        <v>529</v>
      </c>
      <c r="C66" s="530"/>
      <c r="D66" s="26">
        <f t="shared" ref="D66:F67" si="25">D67</f>
        <v>37740.300000000003</v>
      </c>
      <c r="E66" s="26">
        <f t="shared" si="25"/>
        <v>37740.300000000003</v>
      </c>
      <c r="F66" s="26">
        <f t="shared" si="25"/>
        <v>37740.400000000001</v>
      </c>
      <c r="G66" s="559">
        <f t="shared" si="1"/>
        <v>1.0000026496874692</v>
      </c>
      <c r="H66" s="68"/>
    </row>
    <row r="67" spans="1:31" ht="31.5" x14ac:dyDescent="0.25">
      <c r="A67" s="197" t="str">
        <f>'Функц. 2024-2026'!A783</f>
        <v>Предоставление субсидий бюджетным, автономным учреждениям и иным некоммерческим организациям</v>
      </c>
      <c r="B67" s="226" t="s">
        <v>529</v>
      </c>
      <c r="C67" s="530">
        <v>600</v>
      </c>
      <c r="D67" s="26">
        <f t="shared" si="25"/>
        <v>37740.300000000003</v>
      </c>
      <c r="E67" s="26">
        <f t="shared" si="25"/>
        <v>37740.300000000003</v>
      </c>
      <c r="F67" s="26">
        <f t="shared" si="25"/>
        <v>37740.400000000001</v>
      </c>
      <c r="G67" s="559">
        <f t="shared" si="1"/>
        <v>1.0000026496874692</v>
      </c>
      <c r="H67" s="68"/>
    </row>
    <row r="68" spans="1:31" x14ac:dyDescent="0.25">
      <c r="A68" s="197" t="str">
        <f>'Функц. 2024-2026'!A784</f>
        <v>Субсидии бюджетным учреждениям</v>
      </c>
      <c r="B68" s="226" t="s">
        <v>529</v>
      </c>
      <c r="C68" s="530">
        <v>610</v>
      </c>
      <c r="D68" s="26">
        <f>'Функц. 2024-2026'!F784</f>
        <v>37740.300000000003</v>
      </c>
      <c r="E68" s="26">
        <f>'Функц. 2024-2026'!H784</f>
        <v>37740.300000000003</v>
      </c>
      <c r="F68" s="26">
        <f>'Функц. 2024-2026'!J784</f>
        <v>37740.400000000001</v>
      </c>
      <c r="G68" s="559">
        <f t="shared" si="1"/>
        <v>1.0000026496874692</v>
      </c>
      <c r="H68" s="68"/>
    </row>
    <row r="69" spans="1:31" ht="47.25" x14ac:dyDescent="0.25">
      <c r="A69" s="197" t="s">
        <v>725</v>
      </c>
      <c r="B69" s="226" t="s">
        <v>726</v>
      </c>
      <c r="C69" s="457"/>
      <c r="D69" s="26">
        <f>D70+D73</f>
        <v>4310.8999999999996</v>
      </c>
      <c r="E69" s="26">
        <f t="shared" ref="E69" si="26">E70+E73</f>
        <v>4310.8999999999996</v>
      </c>
      <c r="F69" s="26">
        <f t="shared" ref="F69" si="27">F70+F73</f>
        <v>4310.8999999999996</v>
      </c>
      <c r="G69" s="559">
        <f t="shared" si="1"/>
        <v>1</v>
      </c>
      <c r="H69" s="68"/>
    </row>
    <row r="70" spans="1:31" ht="31.5" x14ac:dyDescent="0.25">
      <c r="A70" s="197" t="s">
        <v>727</v>
      </c>
      <c r="B70" s="226" t="s">
        <v>728</v>
      </c>
      <c r="C70" s="457"/>
      <c r="D70" s="26">
        <f>D71</f>
        <v>4257</v>
      </c>
      <c r="E70" s="26">
        <f t="shared" ref="E70:F71" si="28">E71</f>
        <v>4257</v>
      </c>
      <c r="F70" s="26">
        <f t="shared" si="28"/>
        <v>4257</v>
      </c>
      <c r="G70" s="559">
        <f t="shared" si="1"/>
        <v>1</v>
      </c>
      <c r="H70" s="68"/>
    </row>
    <row r="71" spans="1:31" ht="31.5" x14ac:dyDescent="0.25">
      <c r="A71" s="197" t="s">
        <v>61</v>
      </c>
      <c r="B71" s="226" t="s">
        <v>728</v>
      </c>
      <c r="C71" s="457">
        <v>600</v>
      </c>
      <c r="D71" s="26">
        <f>D72</f>
        <v>4257</v>
      </c>
      <c r="E71" s="26">
        <f t="shared" si="28"/>
        <v>4257</v>
      </c>
      <c r="F71" s="26">
        <f t="shared" si="28"/>
        <v>4257</v>
      </c>
      <c r="G71" s="559">
        <f t="shared" si="1"/>
        <v>1</v>
      </c>
      <c r="H71" s="68"/>
    </row>
    <row r="72" spans="1:31" x14ac:dyDescent="0.25">
      <c r="A72" s="197" t="s">
        <v>62</v>
      </c>
      <c r="B72" s="226" t="s">
        <v>728</v>
      </c>
      <c r="C72" s="457">
        <v>610</v>
      </c>
      <c r="D72" s="26">
        <f>'Функц. 2024-2026'!F788</f>
        <v>4257</v>
      </c>
      <c r="E72" s="26">
        <f>'Функц. 2024-2026'!H788</f>
        <v>4257</v>
      </c>
      <c r="F72" s="26">
        <f>'Функц. 2024-2026'!J788</f>
        <v>4257</v>
      </c>
      <c r="G72" s="559">
        <f t="shared" si="1"/>
        <v>1</v>
      </c>
      <c r="H72" s="68"/>
    </row>
    <row r="73" spans="1:31" ht="31.5" x14ac:dyDescent="0.25">
      <c r="A73" s="197" t="s">
        <v>764</v>
      </c>
      <c r="B73" s="226" t="s">
        <v>763</v>
      </c>
      <c r="C73" s="457"/>
      <c r="D73" s="26">
        <f>D74</f>
        <v>53.9</v>
      </c>
      <c r="E73" s="26">
        <f t="shared" ref="E73:F73" si="29">E74</f>
        <v>53.9</v>
      </c>
      <c r="F73" s="26">
        <f t="shared" si="29"/>
        <v>53.9</v>
      </c>
      <c r="G73" s="559">
        <f t="shared" si="1"/>
        <v>1</v>
      </c>
      <c r="H73" s="68"/>
    </row>
    <row r="74" spans="1:31" ht="31.5" x14ac:dyDescent="0.25">
      <c r="A74" s="197" t="s">
        <v>61</v>
      </c>
      <c r="B74" s="226" t="s">
        <v>763</v>
      </c>
      <c r="C74" s="457">
        <v>600</v>
      </c>
      <c r="D74" s="129">
        <f>D75</f>
        <v>53.9</v>
      </c>
      <c r="E74" s="129">
        <f t="shared" ref="E74:F74" si="30">E75</f>
        <v>53.9</v>
      </c>
      <c r="F74" s="129">
        <f t="shared" si="30"/>
        <v>53.9</v>
      </c>
      <c r="G74" s="559">
        <f t="shared" si="1"/>
        <v>1</v>
      </c>
      <c r="H74" s="68"/>
    </row>
    <row r="75" spans="1:31" x14ac:dyDescent="0.25">
      <c r="A75" s="197" t="s">
        <v>62</v>
      </c>
      <c r="B75" s="226" t="s">
        <v>763</v>
      </c>
      <c r="C75" s="457">
        <v>610</v>
      </c>
      <c r="D75" s="26">
        <f>'Функц. 2024-2026'!F791</f>
        <v>53.9</v>
      </c>
      <c r="E75" s="26">
        <f>'Функц. 2024-2026'!H791</f>
        <v>53.9</v>
      </c>
      <c r="F75" s="26">
        <f>'Функц. 2024-2026'!J791</f>
        <v>53.9</v>
      </c>
      <c r="G75" s="559">
        <f t="shared" ref="G75:G138" si="31">F75/E75</f>
        <v>1</v>
      </c>
      <c r="H75" s="68"/>
    </row>
    <row r="76" spans="1:31" ht="31.5" x14ac:dyDescent="0.25">
      <c r="A76" s="197" t="s">
        <v>756</v>
      </c>
      <c r="B76" s="226" t="s">
        <v>758</v>
      </c>
      <c r="C76" s="457"/>
      <c r="D76" s="26">
        <f>D77</f>
        <v>160</v>
      </c>
      <c r="E76" s="26">
        <f>E77</f>
        <v>160</v>
      </c>
      <c r="F76" s="26">
        <f t="shared" ref="E76:F78" si="32">F77</f>
        <v>160</v>
      </c>
      <c r="G76" s="559">
        <f t="shared" si="31"/>
        <v>1</v>
      </c>
      <c r="H76" s="68"/>
    </row>
    <row r="77" spans="1:31" ht="31.5" x14ac:dyDescent="0.25">
      <c r="A77" s="197" t="s">
        <v>757</v>
      </c>
      <c r="B77" s="226" t="s">
        <v>759</v>
      </c>
      <c r="C77" s="457"/>
      <c r="D77" s="26">
        <f>D78</f>
        <v>160</v>
      </c>
      <c r="E77" s="26">
        <f t="shared" si="32"/>
        <v>160</v>
      </c>
      <c r="F77" s="26">
        <f t="shared" si="32"/>
        <v>160</v>
      </c>
      <c r="G77" s="559">
        <f t="shared" si="31"/>
        <v>1</v>
      </c>
      <c r="H77" s="26">
        <f t="shared" ref="H77:AE78" si="33">H78</f>
        <v>0</v>
      </c>
      <c r="I77" s="26">
        <f t="shared" si="33"/>
        <v>0</v>
      </c>
      <c r="J77" s="26">
        <f t="shared" si="33"/>
        <v>0</v>
      </c>
      <c r="K77" s="26">
        <f t="shared" si="33"/>
        <v>0</v>
      </c>
      <c r="L77" s="26">
        <f t="shared" si="33"/>
        <v>0</v>
      </c>
      <c r="M77" s="26">
        <f t="shared" si="33"/>
        <v>0</v>
      </c>
      <c r="N77" s="26">
        <f t="shared" si="33"/>
        <v>0</v>
      </c>
      <c r="O77" s="26">
        <f t="shared" si="33"/>
        <v>0</v>
      </c>
      <c r="P77" s="26">
        <f t="shared" si="33"/>
        <v>0</v>
      </c>
      <c r="Q77" s="26">
        <f t="shared" si="33"/>
        <v>0</v>
      </c>
      <c r="R77" s="26">
        <f t="shared" si="33"/>
        <v>0</v>
      </c>
      <c r="S77" s="26">
        <f t="shared" si="33"/>
        <v>0</v>
      </c>
      <c r="T77" s="26">
        <f t="shared" si="33"/>
        <v>0</v>
      </c>
      <c r="U77" s="26">
        <f t="shared" si="33"/>
        <v>0</v>
      </c>
      <c r="V77" s="26">
        <f t="shared" si="33"/>
        <v>0</v>
      </c>
      <c r="W77" s="26">
        <f t="shared" si="33"/>
        <v>0</v>
      </c>
      <c r="X77" s="26">
        <f t="shared" si="33"/>
        <v>0</v>
      </c>
      <c r="Y77" s="26">
        <f t="shared" si="33"/>
        <v>0</v>
      </c>
      <c r="Z77" s="26">
        <f t="shared" si="33"/>
        <v>0</v>
      </c>
      <c r="AA77" s="26">
        <f t="shared" si="33"/>
        <v>0</v>
      </c>
      <c r="AB77" s="26">
        <f t="shared" si="33"/>
        <v>0</v>
      </c>
      <c r="AC77" s="26">
        <f t="shared" si="33"/>
        <v>0</v>
      </c>
      <c r="AD77" s="26">
        <f t="shared" si="33"/>
        <v>0</v>
      </c>
      <c r="AE77" s="489">
        <f t="shared" si="33"/>
        <v>0</v>
      </c>
    </row>
    <row r="78" spans="1:31" ht="31.5" x14ac:dyDescent="0.25">
      <c r="A78" s="197" t="s">
        <v>61</v>
      </c>
      <c r="B78" s="226" t="s">
        <v>759</v>
      </c>
      <c r="C78" s="457">
        <v>600</v>
      </c>
      <c r="D78" s="26">
        <f>D79</f>
        <v>160</v>
      </c>
      <c r="E78" s="26">
        <f t="shared" si="32"/>
        <v>160</v>
      </c>
      <c r="F78" s="26">
        <f t="shared" si="32"/>
        <v>160</v>
      </c>
      <c r="G78" s="559">
        <f t="shared" si="31"/>
        <v>1</v>
      </c>
      <c r="H78" s="26">
        <f t="shared" si="33"/>
        <v>0</v>
      </c>
      <c r="I78" s="26">
        <f t="shared" si="33"/>
        <v>0</v>
      </c>
      <c r="J78" s="26">
        <f t="shared" si="33"/>
        <v>0</v>
      </c>
      <c r="K78" s="26">
        <f t="shared" si="33"/>
        <v>0</v>
      </c>
      <c r="L78" s="26">
        <f t="shared" si="33"/>
        <v>0</v>
      </c>
      <c r="M78" s="26">
        <f t="shared" si="33"/>
        <v>0</v>
      </c>
      <c r="N78" s="26">
        <f t="shared" si="33"/>
        <v>0</v>
      </c>
      <c r="O78" s="26">
        <f t="shared" si="33"/>
        <v>0</v>
      </c>
      <c r="P78" s="26">
        <f t="shared" si="33"/>
        <v>0</v>
      </c>
      <c r="Q78" s="26">
        <f t="shared" si="33"/>
        <v>0</v>
      </c>
      <c r="R78" s="26">
        <f t="shared" si="33"/>
        <v>0</v>
      </c>
      <c r="S78" s="26">
        <f t="shared" si="33"/>
        <v>0</v>
      </c>
      <c r="T78" s="26">
        <f t="shared" si="33"/>
        <v>0</v>
      </c>
      <c r="U78" s="26">
        <f t="shared" si="33"/>
        <v>0</v>
      </c>
      <c r="V78" s="26">
        <f t="shared" si="33"/>
        <v>0</v>
      </c>
      <c r="W78" s="26">
        <f t="shared" si="33"/>
        <v>0</v>
      </c>
      <c r="X78" s="26">
        <f t="shared" si="33"/>
        <v>0</v>
      </c>
      <c r="Y78" s="26">
        <f t="shared" si="33"/>
        <v>0</v>
      </c>
      <c r="Z78" s="26">
        <f t="shared" si="33"/>
        <v>0</v>
      </c>
      <c r="AA78" s="26">
        <f t="shared" si="33"/>
        <v>0</v>
      </c>
      <c r="AB78" s="26">
        <f t="shared" si="33"/>
        <v>0</v>
      </c>
      <c r="AC78" s="26">
        <f t="shared" si="33"/>
        <v>0</v>
      </c>
      <c r="AD78" s="26">
        <f t="shared" si="33"/>
        <v>0</v>
      </c>
      <c r="AE78" s="489">
        <f t="shared" si="33"/>
        <v>0</v>
      </c>
    </row>
    <row r="79" spans="1:31" x14ac:dyDescent="0.25">
      <c r="A79" s="197" t="s">
        <v>62</v>
      </c>
      <c r="B79" s="226" t="s">
        <v>759</v>
      </c>
      <c r="C79" s="457">
        <v>610</v>
      </c>
      <c r="D79" s="26">
        <f>'Функц. 2024-2026'!F795</f>
        <v>160</v>
      </c>
      <c r="E79" s="26">
        <f>'Функц. 2024-2026'!H795</f>
        <v>160</v>
      </c>
      <c r="F79" s="26">
        <f>'Функц. 2024-2026'!J795</f>
        <v>160</v>
      </c>
      <c r="G79" s="559">
        <f t="shared" si="31"/>
        <v>1</v>
      </c>
      <c r="H79" s="68"/>
    </row>
    <row r="80" spans="1:31" ht="31.5" x14ac:dyDescent="0.25">
      <c r="A80" s="197" t="s">
        <v>734</v>
      </c>
      <c r="B80" s="226" t="s">
        <v>735</v>
      </c>
      <c r="C80" s="457"/>
      <c r="D80" s="26">
        <f>D84+D81</f>
        <v>5608.2</v>
      </c>
      <c r="E80" s="26">
        <f t="shared" ref="E80" si="34">E84+E81</f>
        <v>5608.2</v>
      </c>
      <c r="F80" s="26">
        <f t="shared" ref="F80" si="35">F84+F81</f>
        <v>5510.5</v>
      </c>
      <c r="G80" s="559">
        <f t="shared" si="31"/>
        <v>0.98257908063193189</v>
      </c>
      <c r="H80" s="68"/>
    </row>
    <row r="81" spans="1:8" ht="31.5" x14ac:dyDescent="0.25">
      <c r="A81" s="347" t="s">
        <v>796</v>
      </c>
      <c r="B81" s="355" t="s">
        <v>802</v>
      </c>
      <c r="C81" s="531"/>
      <c r="D81" s="26">
        <f>D82</f>
        <v>4396</v>
      </c>
      <c r="E81" s="26">
        <f t="shared" ref="E81:F82" si="36">E82</f>
        <v>4396</v>
      </c>
      <c r="F81" s="26">
        <f t="shared" si="36"/>
        <v>4396</v>
      </c>
      <c r="G81" s="559">
        <f t="shared" si="31"/>
        <v>1</v>
      </c>
      <c r="H81" s="68"/>
    </row>
    <row r="82" spans="1:8" ht="31.5" x14ac:dyDescent="0.25">
      <c r="A82" s="402" t="s">
        <v>61</v>
      </c>
      <c r="B82" s="355" t="s">
        <v>802</v>
      </c>
      <c r="C82" s="531">
        <v>600</v>
      </c>
      <c r="D82" s="26">
        <f>D83</f>
        <v>4396</v>
      </c>
      <c r="E82" s="26">
        <f t="shared" si="36"/>
        <v>4396</v>
      </c>
      <c r="F82" s="26">
        <f t="shared" si="36"/>
        <v>4396</v>
      </c>
      <c r="G82" s="559">
        <f t="shared" si="31"/>
        <v>1</v>
      </c>
      <c r="H82" s="68"/>
    </row>
    <row r="83" spans="1:8" x14ac:dyDescent="0.25">
      <c r="A83" s="347" t="s">
        <v>62</v>
      </c>
      <c r="B83" s="355" t="s">
        <v>802</v>
      </c>
      <c r="C83" s="531">
        <v>610</v>
      </c>
      <c r="D83" s="26">
        <f>'Функц. 2024-2026'!F799</f>
        <v>4396</v>
      </c>
      <c r="E83" s="26">
        <f>'Функц. 2024-2026'!H799</f>
        <v>4396</v>
      </c>
      <c r="F83" s="26">
        <f>'Функц. 2024-2026'!J799</f>
        <v>4396</v>
      </c>
      <c r="G83" s="559">
        <f t="shared" si="31"/>
        <v>1</v>
      </c>
      <c r="H83" s="68"/>
    </row>
    <row r="84" spans="1:8" ht="31.5" x14ac:dyDescent="0.25">
      <c r="A84" s="197" t="s">
        <v>736</v>
      </c>
      <c r="B84" s="226" t="s">
        <v>737</v>
      </c>
      <c r="C84" s="457"/>
      <c r="D84" s="26">
        <f>D85</f>
        <v>1212.2</v>
      </c>
      <c r="E84" s="26">
        <f t="shared" ref="E84:F85" si="37">E85</f>
        <v>1212.2</v>
      </c>
      <c r="F84" s="26">
        <f t="shared" si="37"/>
        <v>1114.5</v>
      </c>
      <c r="G84" s="559">
        <f t="shared" si="31"/>
        <v>0.91940273882197654</v>
      </c>
      <c r="H84" s="68"/>
    </row>
    <row r="85" spans="1:8" ht="31.5" x14ac:dyDescent="0.25">
      <c r="A85" s="197" t="s">
        <v>61</v>
      </c>
      <c r="B85" s="226" t="s">
        <v>737</v>
      </c>
      <c r="C85" s="457">
        <v>600</v>
      </c>
      <c r="D85" s="26">
        <f>D86</f>
        <v>1212.2</v>
      </c>
      <c r="E85" s="26">
        <f t="shared" si="37"/>
        <v>1212.2</v>
      </c>
      <c r="F85" s="26">
        <f t="shared" si="37"/>
        <v>1114.5</v>
      </c>
      <c r="G85" s="559">
        <f t="shared" si="31"/>
        <v>0.91940273882197654</v>
      </c>
      <c r="H85" s="68"/>
    </row>
    <row r="86" spans="1:8" x14ac:dyDescent="0.25">
      <c r="A86" s="197" t="s">
        <v>62</v>
      </c>
      <c r="B86" s="226" t="s">
        <v>737</v>
      </c>
      <c r="C86" s="457">
        <v>610</v>
      </c>
      <c r="D86" s="26">
        <f>'Функц. 2024-2026'!F802</f>
        <v>1212.2</v>
      </c>
      <c r="E86" s="26">
        <f>'Функц. 2024-2026'!H802</f>
        <v>1212.2</v>
      </c>
      <c r="F86" s="26">
        <f>'Функц. 2024-2026'!J802</f>
        <v>1114.5</v>
      </c>
      <c r="G86" s="559">
        <f t="shared" si="31"/>
        <v>0.91940273882197654</v>
      </c>
      <c r="H86" s="68"/>
    </row>
    <row r="87" spans="1:8" x14ac:dyDescent="0.25">
      <c r="A87" s="197" t="s">
        <v>530</v>
      </c>
      <c r="B87" s="226" t="s">
        <v>403</v>
      </c>
      <c r="C87" s="530"/>
      <c r="D87" s="26">
        <f>D88+D92+D96</f>
        <v>71732.5</v>
      </c>
      <c r="E87" s="26">
        <f t="shared" ref="E87" si="38">E88+E92+E96</f>
        <v>71732.5</v>
      </c>
      <c r="F87" s="26">
        <f t="shared" ref="F87" si="39">F88+F92+F96</f>
        <v>71728.3</v>
      </c>
      <c r="G87" s="559">
        <f t="shared" si="31"/>
        <v>0.99994144913393512</v>
      </c>
      <c r="H87" s="68"/>
    </row>
    <row r="88" spans="1:8" ht="31.5" x14ac:dyDescent="0.25">
      <c r="A88" s="197" t="s">
        <v>401</v>
      </c>
      <c r="B88" s="226" t="s">
        <v>404</v>
      </c>
      <c r="C88" s="458"/>
      <c r="D88" s="26">
        <f t="shared" ref="D88:F90" si="40">D89</f>
        <v>69402.5</v>
      </c>
      <c r="E88" s="26">
        <f t="shared" si="40"/>
        <v>69402.5</v>
      </c>
      <c r="F88" s="26">
        <f t="shared" si="40"/>
        <v>69398.3</v>
      </c>
      <c r="G88" s="559">
        <f t="shared" si="31"/>
        <v>0.99993948344800265</v>
      </c>
      <c r="H88" s="68"/>
    </row>
    <row r="89" spans="1:8" ht="31.5" x14ac:dyDescent="0.25">
      <c r="A89" s="268" t="s">
        <v>402</v>
      </c>
      <c r="B89" s="226" t="s">
        <v>405</v>
      </c>
      <c r="C89" s="458"/>
      <c r="D89" s="26">
        <f t="shared" si="40"/>
        <v>69402.5</v>
      </c>
      <c r="E89" s="26">
        <f t="shared" si="40"/>
        <v>69402.5</v>
      </c>
      <c r="F89" s="26">
        <f t="shared" si="40"/>
        <v>69398.3</v>
      </c>
      <c r="G89" s="559">
        <f t="shared" si="31"/>
        <v>0.99993948344800265</v>
      </c>
      <c r="H89" s="68"/>
    </row>
    <row r="90" spans="1:8" ht="31.5" x14ac:dyDescent="0.25">
      <c r="A90" s="197" t="s">
        <v>61</v>
      </c>
      <c r="B90" s="226" t="s">
        <v>405</v>
      </c>
      <c r="C90" s="458">
        <v>600</v>
      </c>
      <c r="D90" s="26">
        <f t="shared" si="40"/>
        <v>69402.5</v>
      </c>
      <c r="E90" s="26">
        <f t="shared" si="40"/>
        <v>69402.5</v>
      </c>
      <c r="F90" s="26">
        <f t="shared" si="40"/>
        <v>69398.3</v>
      </c>
      <c r="G90" s="559">
        <f t="shared" si="31"/>
        <v>0.99993948344800265</v>
      </c>
      <c r="H90" s="68"/>
    </row>
    <row r="91" spans="1:8" x14ac:dyDescent="0.25">
      <c r="A91" s="197" t="s">
        <v>62</v>
      </c>
      <c r="B91" s="226" t="s">
        <v>405</v>
      </c>
      <c r="C91" s="458">
        <v>610</v>
      </c>
      <c r="D91" s="26">
        <f>'Функц. 2024-2026'!F640</f>
        <v>69402.5</v>
      </c>
      <c r="E91" s="26">
        <f>'Функц. 2024-2026'!H640</f>
        <v>69402.5</v>
      </c>
      <c r="F91" s="26">
        <f>'Функц. 2024-2026'!J640</f>
        <v>69398.3</v>
      </c>
      <c r="G91" s="559">
        <f t="shared" si="31"/>
        <v>0.99993948344800265</v>
      </c>
      <c r="H91" s="68"/>
    </row>
    <row r="92" spans="1:8" ht="31.5" x14ac:dyDescent="0.25">
      <c r="A92" s="197" t="s">
        <v>718</v>
      </c>
      <c r="B92" s="226" t="s">
        <v>721</v>
      </c>
      <c r="C92" s="459"/>
      <c r="D92" s="26">
        <f t="shared" ref="D92:F94" si="41">D93</f>
        <v>200</v>
      </c>
      <c r="E92" s="26">
        <f t="shared" si="41"/>
        <v>200</v>
      </c>
      <c r="F92" s="26">
        <f t="shared" si="41"/>
        <v>200</v>
      </c>
      <c r="G92" s="559">
        <f t="shared" si="31"/>
        <v>1</v>
      </c>
      <c r="H92" s="68"/>
    </row>
    <row r="93" spans="1:8" ht="31.5" x14ac:dyDescent="0.25">
      <c r="A93" s="197" t="s">
        <v>719</v>
      </c>
      <c r="B93" s="226" t="s">
        <v>720</v>
      </c>
      <c r="C93" s="459"/>
      <c r="D93" s="26">
        <f t="shared" si="41"/>
        <v>200</v>
      </c>
      <c r="E93" s="26">
        <f t="shared" si="41"/>
        <v>200</v>
      </c>
      <c r="F93" s="26">
        <f t="shared" si="41"/>
        <v>200</v>
      </c>
      <c r="G93" s="559">
        <f t="shared" si="31"/>
        <v>1</v>
      </c>
      <c r="H93" s="68"/>
    </row>
    <row r="94" spans="1:8" ht="31.5" x14ac:dyDescent="0.25">
      <c r="A94" s="270" t="s">
        <v>61</v>
      </c>
      <c r="B94" s="226" t="s">
        <v>720</v>
      </c>
      <c r="C94" s="459">
        <v>600</v>
      </c>
      <c r="D94" s="26">
        <f t="shared" si="41"/>
        <v>200</v>
      </c>
      <c r="E94" s="26">
        <f t="shared" si="41"/>
        <v>200</v>
      </c>
      <c r="F94" s="26">
        <f t="shared" si="41"/>
        <v>200</v>
      </c>
      <c r="G94" s="559">
        <f t="shared" si="31"/>
        <v>1</v>
      </c>
      <c r="H94" s="68"/>
    </row>
    <row r="95" spans="1:8" x14ac:dyDescent="0.25">
      <c r="A95" s="197" t="s">
        <v>62</v>
      </c>
      <c r="B95" s="226" t="s">
        <v>720</v>
      </c>
      <c r="C95" s="459">
        <v>610</v>
      </c>
      <c r="D95" s="26">
        <f>'Функц. 2024-2026'!F644</f>
        <v>200</v>
      </c>
      <c r="E95" s="26">
        <f>'Функц. 2024-2026'!H644</f>
        <v>200</v>
      </c>
      <c r="F95" s="26">
        <f>'Функц. 2024-2026'!J644</f>
        <v>200</v>
      </c>
      <c r="G95" s="559">
        <f t="shared" si="31"/>
        <v>1</v>
      </c>
      <c r="H95" s="68"/>
    </row>
    <row r="96" spans="1:8" ht="31.5" x14ac:dyDescent="0.25">
      <c r="A96" s="347" t="s">
        <v>797</v>
      </c>
      <c r="B96" s="355" t="s">
        <v>799</v>
      </c>
      <c r="C96" s="531"/>
      <c r="D96" s="26">
        <f>D97</f>
        <v>2130</v>
      </c>
      <c r="E96" s="26">
        <f t="shared" ref="E96:F98" si="42">E97</f>
        <v>2130</v>
      </c>
      <c r="F96" s="26">
        <f t="shared" si="42"/>
        <v>2130</v>
      </c>
      <c r="G96" s="559">
        <f t="shared" si="31"/>
        <v>1</v>
      </c>
      <c r="H96" s="68"/>
    </row>
    <row r="97" spans="1:8" ht="31.5" x14ac:dyDescent="0.25">
      <c r="A97" s="347" t="s">
        <v>796</v>
      </c>
      <c r="B97" s="355" t="s">
        <v>798</v>
      </c>
      <c r="C97" s="531"/>
      <c r="D97" s="26">
        <f>D98</f>
        <v>2130</v>
      </c>
      <c r="E97" s="26">
        <f t="shared" si="42"/>
        <v>2130</v>
      </c>
      <c r="F97" s="26">
        <f t="shared" si="42"/>
        <v>2130</v>
      </c>
      <c r="G97" s="559">
        <f t="shared" si="31"/>
        <v>1</v>
      </c>
      <c r="H97" s="68"/>
    </row>
    <row r="98" spans="1:8" ht="31.5" x14ac:dyDescent="0.25">
      <c r="A98" s="402" t="s">
        <v>61</v>
      </c>
      <c r="B98" s="355" t="s">
        <v>798</v>
      </c>
      <c r="C98" s="531">
        <v>600</v>
      </c>
      <c r="D98" s="26">
        <f>D99</f>
        <v>2130</v>
      </c>
      <c r="E98" s="26">
        <f t="shared" si="42"/>
        <v>2130</v>
      </c>
      <c r="F98" s="26">
        <f t="shared" si="42"/>
        <v>2130</v>
      </c>
      <c r="G98" s="559">
        <f t="shared" si="31"/>
        <v>1</v>
      </c>
      <c r="H98" s="68"/>
    </row>
    <row r="99" spans="1:8" x14ac:dyDescent="0.25">
      <c r="A99" s="347" t="s">
        <v>62</v>
      </c>
      <c r="B99" s="355" t="s">
        <v>798</v>
      </c>
      <c r="C99" s="531">
        <v>610</v>
      </c>
      <c r="D99" s="26">
        <f>'Функц. 2024-2026'!F648</f>
        <v>2130</v>
      </c>
      <c r="E99" s="26">
        <f>'Функц. 2024-2026'!H648</f>
        <v>2130</v>
      </c>
      <c r="F99" s="26">
        <f>'Функц. 2024-2026'!J648</f>
        <v>2130</v>
      </c>
      <c r="G99" s="559">
        <f t="shared" si="31"/>
        <v>1</v>
      </c>
      <c r="H99" s="68"/>
    </row>
    <row r="100" spans="1:8" s="104" customFormat="1" x14ac:dyDescent="0.25">
      <c r="A100" s="289" t="s">
        <v>270</v>
      </c>
      <c r="B100" s="323" t="s">
        <v>101</v>
      </c>
      <c r="C100" s="534"/>
      <c r="D100" s="454">
        <f>D101+D164+D183</f>
        <v>1270679.1999999997</v>
      </c>
      <c r="E100" s="454">
        <f>E101+E164+E183</f>
        <v>1270679.1999999997</v>
      </c>
      <c r="F100" s="454">
        <f>F101+F164+F183</f>
        <v>1259172.7</v>
      </c>
      <c r="G100" s="558">
        <f t="shared" si="31"/>
        <v>0.99094460663242168</v>
      </c>
      <c r="H100" s="68"/>
    </row>
    <row r="101" spans="1:8" x14ac:dyDescent="0.25">
      <c r="A101" s="214" t="s">
        <v>477</v>
      </c>
      <c r="B101" s="226" t="s">
        <v>118</v>
      </c>
      <c r="C101" s="530"/>
      <c r="D101" s="26">
        <f>D102+D136+D149+D160+D156</f>
        <v>1165986.9999999998</v>
      </c>
      <c r="E101" s="26">
        <f>E102+E136+E149+E160+E156</f>
        <v>1165986.9999999998</v>
      </c>
      <c r="F101" s="26">
        <f>F102+F136+F149+F160+F156</f>
        <v>1155054.5</v>
      </c>
      <c r="G101" s="559">
        <f t="shared" si="31"/>
        <v>0.99062382342170219</v>
      </c>
      <c r="H101" s="68"/>
    </row>
    <row r="102" spans="1:8" ht="31.5" x14ac:dyDescent="0.25">
      <c r="A102" s="199" t="s">
        <v>479</v>
      </c>
      <c r="B102" s="226" t="s">
        <v>478</v>
      </c>
      <c r="C102" s="458"/>
      <c r="D102" s="26">
        <f>D106+D120+D110+D117+D127+D133+D103+D130</f>
        <v>1093407.2999999998</v>
      </c>
      <c r="E102" s="26">
        <f>E106+E120+E110+E117+E127+E133+E103+E130</f>
        <v>1093407.2999999998</v>
      </c>
      <c r="F102" s="26">
        <f>F106+F120+F110+F117+F127+F133+F103+F130</f>
        <v>1088807.8</v>
      </c>
      <c r="G102" s="559">
        <f t="shared" si="31"/>
        <v>0.99579342482897293</v>
      </c>
      <c r="H102" s="68"/>
    </row>
    <row r="103" spans="1:8" ht="31.5" x14ac:dyDescent="0.25">
      <c r="A103" s="199" t="s">
        <v>722</v>
      </c>
      <c r="B103" s="226" t="s">
        <v>724</v>
      </c>
      <c r="C103" s="535"/>
      <c r="D103" s="26">
        <f t="shared" ref="D103:F104" si="43">D104</f>
        <v>29803.200000000001</v>
      </c>
      <c r="E103" s="26">
        <f t="shared" si="43"/>
        <v>29803.200000000001</v>
      </c>
      <c r="F103" s="26">
        <f t="shared" si="43"/>
        <v>29219.4</v>
      </c>
      <c r="G103" s="559">
        <f t="shared" si="31"/>
        <v>0.98041149943630213</v>
      </c>
      <c r="H103" s="68"/>
    </row>
    <row r="104" spans="1:8" ht="31.5" x14ac:dyDescent="0.25">
      <c r="A104" s="197" t="s">
        <v>61</v>
      </c>
      <c r="B104" s="226" t="s">
        <v>724</v>
      </c>
      <c r="C104" s="457">
        <v>600</v>
      </c>
      <c r="D104" s="26">
        <f t="shared" si="43"/>
        <v>29803.200000000001</v>
      </c>
      <c r="E104" s="26">
        <f t="shared" si="43"/>
        <v>29803.200000000001</v>
      </c>
      <c r="F104" s="26">
        <f t="shared" si="43"/>
        <v>29219.4</v>
      </c>
      <c r="G104" s="559">
        <f t="shared" si="31"/>
        <v>0.98041149943630213</v>
      </c>
      <c r="H104" s="68"/>
    </row>
    <row r="105" spans="1:8" x14ac:dyDescent="0.25">
      <c r="A105" s="197" t="s">
        <v>62</v>
      </c>
      <c r="B105" s="226" t="s">
        <v>724</v>
      </c>
      <c r="C105" s="457">
        <v>610</v>
      </c>
      <c r="D105" s="26">
        <f>'Функц. 2024-2026'!F576+'Функц. 2024-2026'!F555</f>
        <v>29803.200000000001</v>
      </c>
      <c r="E105" s="26">
        <f>'Функц. 2024-2026'!H576+'Функц. 2024-2026'!H555</f>
        <v>29803.200000000001</v>
      </c>
      <c r="F105" s="26">
        <f>'Функц. 2024-2026'!J576+'Функц. 2024-2026'!J555</f>
        <v>29219.4</v>
      </c>
      <c r="G105" s="559">
        <f t="shared" si="31"/>
        <v>0.98041149943630213</v>
      </c>
      <c r="H105" s="68"/>
    </row>
    <row r="106" spans="1:8" ht="31.5" x14ac:dyDescent="0.25">
      <c r="A106" s="288" t="s">
        <v>272</v>
      </c>
      <c r="B106" s="226" t="s">
        <v>481</v>
      </c>
      <c r="C106" s="458"/>
      <c r="D106" s="26">
        <f>D107</f>
        <v>157897.60000000001</v>
      </c>
      <c r="E106" s="26">
        <f>E107</f>
        <v>157897.60000000001</v>
      </c>
      <c r="F106" s="26">
        <f>F107</f>
        <v>157897.60000000001</v>
      </c>
      <c r="G106" s="559">
        <f t="shared" si="31"/>
        <v>1</v>
      </c>
      <c r="H106" s="68"/>
    </row>
    <row r="107" spans="1:8" ht="31.5" x14ac:dyDescent="0.25">
      <c r="A107" s="288" t="s">
        <v>346</v>
      </c>
      <c r="B107" s="226" t="s">
        <v>482</v>
      </c>
      <c r="C107" s="530"/>
      <c r="D107" s="26">
        <f t="shared" ref="D107:F108" si="44">D108</f>
        <v>157897.60000000001</v>
      </c>
      <c r="E107" s="26">
        <f t="shared" si="44"/>
        <v>157897.60000000001</v>
      </c>
      <c r="F107" s="26">
        <f t="shared" si="44"/>
        <v>157897.60000000001</v>
      </c>
      <c r="G107" s="559">
        <f t="shared" si="31"/>
        <v>1</v>
      </c>
      <c r="H107" s="68"/>
    </row>
    <row r="108" spans="1:8" ht="31.5" x14ac:dyDescent="0.25">
      <c r="A108" s="216" t="s">
        <v>61</v>
      </c>
      <c r="B108" s="226" t="s">
        <v>482</v>
      </c>
      <c r="C108" s="530">
        <v>600</v>
      </c>
      <c r="D108" s="26">
        <f t="shared" si="44"/>
        <v>157897.60000000001</v>
      </c>
      <c r="E108" s="26">
        <f t="shared" si="44"/>
        <v>157897.60000000001</v>
      </c>
      <c r="F108" s="26">
        <f t="shared" si="44"/>
        <v>157897.60000000001</v>
      </c>
      <c r="G108" s="559">
        <f t="shared" si="31"/>
        <v>1</v>
      </c>
      <c r="H108" s="68"/>
    </row>
    <row r="109" spans="1:8" x14ac:dyDescent="0.25">
      <c r="A109" s="216" t="s">
        <v>62</v>
      </c>
      <c r="B109" s="226" t="s">
        <v>482</v>
      </c>
      <c r="C109" s="530">
        <v>610</v>
      </c>
      <c r="D109" s="26">
        <f>'Функц. 2024-2026'!F559</f>
        <v>157897.60000000001</v>
      </c>
      <c r="E109" s="26">
        <f>'Функц. 2024-2026'!H559</f>
        <v>157897.60000000001</v>
      </c>
      <c r="F109" s="26">
        <f>'Функц. 2024-2026'!J559</f>
        <v>157897.60000000001</v>
      </c>
      <c r="G109" s="559">
        <f t="shared" si="31"/>
        <v>1</v>
      </c>
      <c r="H109" s="68"/>
    </row>
    <row r="110" spans="1:8" ht="47.25" x14ac:dyDescent="0.25">
      <c r="A110" s="214" t="s">
        <v>465</v>
      </c>
      <c r="B110" s="226" t="s">
        <v>500</v>
      </c>
      <c r="C110" s="530"/>
      <c r="D110" s="26">
        <f>D111+D114</f>
        <v>87403.3</v>
      </c>
      <c r="E110" s="26">
        <f>E111+E114</f>
        <v>87403.3</v>
      </c>
      <c r="F110" s="26">
        <f>F111+F114</f>
        <v>86594</v>
      </c>
      <c r="G110" s="559">
        <f t="shared" si="31"/>
        <v>0.99074062420984099</v>
      </c>
      <c r="H110" s="68"/>
    </row>
    <row r="111" spans="1:8" ht="47.25" x14ac:dyDescent="0.25">
      <c r="A111" s="214" t="s">
        <v>543</v>
      </c>
      <c r="B111" s="226" t="s">
        <v>501</v>
      </c>
      <c r="C111" s="458"/>
      <c r="D111" s="26">
        <f t="shared" ref="D111:F112" si="45">D112</f>
        <v>79269.2</v>
      </c>
      <c r="E111" s="26">
        <f t="shared" si="45"/>
        <v>79269.2</v>
      </c>
      <c r="F111" s="26">
        <f t="shared" si="45"/>
        <v>78589.3</v>
      </c>
      <c r="G111" s="559">
        <f t="shared" si="31"/>
        <v>0.99142289817482709</v>
      </c>
      <c r="H111" s="68"/>
    </row>
    <row r="112" spans="1:8" ht="31.5" x14ac:dyDescent="0.25">
      <c r="A112" s="216" t="s">
        <v>61</v>
      </c>
      <c r="B112" s="226" t="s">
        <v>501</v>
      </c>
      <c r="C112" s="530">
        <v>600</v>
      </c>
      <c r="D112" s="26">
        <f t="shared" si="45"/>
        <v>79269.2</v>
      </c>
      <c r="E112" s="26">
        <f t="shared" si="45"/>
        <v>79269.2</v>
      </c>
      <c r="F112" s="26">
        <f t="shared" si="45"/>
        <v>78589.3</v>
      </c>
      <c r="G112" s="559">
        <f t="shared" si="31"/>
        <v>0.99142289817482709</v>
      </c>
      <c r="H112" s="68"/>
    </row>
    <row r="113" spans="1:8" x14ac:dyDescent="0.25">
      <c r="A113" s="216" t="s">
        <v>62</v>
      </c>
      <c r="B113" s="226" t="s">
        <v>501</v>
      </c>
      <c r="C113" s="530">
        <v>610</v>
      </c>
      <c r="D113" s="26">
        <f>'Функц. 2024-2026'!F580</f>
        <v>79269.2</v>
      </c>
      <c r="E113" s="26">
        <f>'Функц. 2024-2026'!H580</f>
        <v>79269.2</v>
      </c>
      <c r="F113" s="26">
        <f>'Функц. 2024-2026'!J580</f>
        <v>78589.3</v>
      </c>
      <c r="G113" s="559">
        <f t="shared" si="31"/>
        <v>0.99142289817482709</v>
      </c>
      <c r="H113" s="68"/>
    </row>
    <row r="114" spans="1:8" ht="47.25" x14ac:dyDescent="0.25">
      <c r="A114" s="216" t="s">
        <v>544</v>
      </c>
      <c r="B114" s="226" t="s">
        <v>502</v>
      </c>
      <c r="C114" s="530"/>
      <c r="D114" s="26">
        <f t="shared" ref="D114:F115" si="46">D115</f>
        <v>8134.1</v>
      </c>
      <c r="E114" s="26">
        <f t="shared" si="46"/>
        <v>8134.1</v>
      </c>
      <c r="F114" s="26">
        <f t="shared" si="46"/>
        <v>8004.7</v>
      </c>
      <c r="G114" s="559">
        <f t="shared" si="31"/>
        <v>0.98409166349073651</v>
      </c>
      <c r="H114" s="68"/>
    </row>
    <row r="115" spans="1:8" ht="31.5" x14ac:dyDescent="0.25">
      <c r="A115" s="216" t="s">
        <v>61</v>
      </c>
      <c r="B115" s="226" t="s">
        <v>502</v>
      </c>
      <c r="C115" s="530">
        <v>600</v>
      </c>
      <c r="D115" s="26">
        <f t="shared" si="46"/>
        <v>8134.1</v>
      </c>
      <c r="E115" s="26">
        <f t="shared" si="46"/>
        <v>8134.1</v>
      </c>
      <c r="F115" s="26">
        <f t="shared" si="46"/>
        <v>8004.7</v>
      </c>
      <c r="G115" s="559">
        <f t="shared" si="31"/>
        <v>0.98409166349073651</v>
      </c>
      <c r="H115" s="68"/>
    </row>
    <row r="116" spans="1:8" x14ac:dyDescent="0.25">
      <c r="A116" s="216" t="s">
        <v>62</v>
      </c>
      <c r="B116" s="226" t="s">
        <v>502</v>
      </c>
      <c r="C116" s="530">
        <v>610</v>
      </c>
      <c r="D116" s="26">
        <f>'Функц. 2024-2026'!F583</f>
        <v>8134.1</v>
      </c>
      <c r="E116" s="26">
        <f>'Функц. 2024-2026'!H583</f>
        <v>8134.1</v>
      </c>
      <c r="F116" s="26">
        <f>'Функц. 2024-2026'!J583</f>
        <v>8004.7</v>
      </c>
      <c r="G116" s="559">
        <f t="shared" si="31"/>
        <v>0.98409166349073651</v>
      </c>
      <c r="H116" s="68"/>
    </row>
    <row r="117" spans="1:8" ht="126" x14ac:dyDescent="0.25">
      <c r="A117" s="215" t="s">
        <v>546</v>
      </c>
      <c r="B117" s="233" t="s">
        <v>503</v>
      </c>
      <c r="C117" s="458"/>
      <c r="D117" s="26">
        <f t="shared" ref="D117:F118" si="47">D118</f>
        <v>766008</v>
      </c>
      <c r="E117" s="26">
        <f t="shared" si="47"/>
        <v>766008</v>
      </c>
      <c r="F117" s="26">
        <f t="shared" si="47"/>
        <v>765762.4</v>
      </c>
      <c r="G117" s="559">
        <f t="shared" si="31"/>
        <v>0.99967937671669227</v>
      </c>
      <c r="H117" s="68"/>
    </row>
    <row r="118" spans="1:8" ht="31.5" x14ac:dyDescent="0.25">
      <c r="A118" s="216" t="s">
        <v>61</v>
      </c>
      <c r="B118" s="233" t="s">
        <v>503</v>
      </c>
      <c r="C118" s="530">
        <v>600</v>
      </c>
      <c r="D118" s="26">
        <f t="shared" si="47"/>
        <v>766008</v>
      </c>
      <c r="E118" s="26">
        <f t="shared" si="47"/>
        <v>766008</v>
      </c>
      <c r="F118" s="26">
        <f t="shared" si="47"/>
        <v>765762.4</v>
      </c>
      <c r="G118" s="559">
        <f t="shared" si="31"/>
        <v>0.99967937671669227</v>
      </c>
      <c r="H118" s="68"/>
    </row>
    <row r="119" spans="1:8" x14ac:dyDescent="0.25">
      <c r="A119" s="216" t="s">
        <v>62</v>
      </c>
      <c r="B119" s="233" t="s">
        <v>503</v>
      </c>
      <c r="C119" s="530">
        <v>610</v>
      </c>
      <c r="D119" s="26">
        <f>'Функц. 2024-2026'!F586+'Функц. 2024-2026'!F654+'Функц. 2024-2026'!F562</f>
        <v>766008</v>
      </c>
      <c r="E119" s="26">
        <f>'Функц. 2024-2026'!H586+'Функц. 2024-2026'!H654+'Функц. 2024-2026'!H562</f>
        <v>766008</v>
      </c>
      <c r="F119" s="26">
        <f>'Функц. 2024-2026'!J562+'Функц. 2024-2026'!J586+'Функц. 2024-2026'!J654</f>
        <v>765762.4</v>
      </c>
      <c r="G119" s="559">
        <f t="shared" si="31"/>
        <v>0.99967937671669227</v>
      </c>
      <c r="H119" s="68"/>
    </row>
    <row r="120" spans="1:8" ht="47.25" x14ac:dyDescent="0.25">
      <c r="A120" s="216" t="s">
        <v>123</v>
      </c>
      <c r="B120" s="226" t="s">
        <v>499</v>
      </c>
      <c r="C120" s="530"/>
      <c r="D120" s="26">
        <f>D123+D121+D125</f>
        <v>16359</v>
      </c>
      <c r="E120" s="26">
        <f>E123+E121+E125</f>
        <v>16359</v>
      </c>
      <c r="F120" s="26">
        <f>F123+F121+F125</f>
        <v>13948.2</v>
      </c>
      <c r="G120" s="559">
        <f t="shared" si="31"/>
        <v>0.85263157894736852</v>
      </c>
      <c r="H120" s="68"/>
    </row>
    <row r="121" spans="1:8" x14ac:dyDescent="0.25">
      <c r="A121" s="290" t="s">
        <v>121</v>
      </c>
      <c r="B121" s="226" t="s">
        <v>499</v>
      </c>
      <c r="C121" s="530">
        <v>200</v>
      </c>
      <c r="D121" s="26">
        <f>D122</f>
        <v>154</v>
      </c>
      <c r="E121" s="26">
        <f>E122</f>
        <v>154</v>
      </c>
      <c r="F121" s="26">
        <f>F122</f>
        <v>60.1</v>
      </c>
      <c r="G121" s="559">
        <f t="shared" si="31"/>
        <v>0.39025974025974025</v>
      </c>
      <c r="H121" s="68"/>
    </row>
    <row r="122" spans="1:8" x14ac:dyDescent="0.25">
      <c r="A122" s="197" t="s">
        <v>52</v>
      </c>
      <c r="B122" s="226" t="s">
        <v>499</v>
      </c>
      <c r="C122" s="530">
        <v>240</v>
      </c>
      <c r="D122" s="26">
        <f>'Функц. 2024-2026'!F830</f>
        <v>154</v>
      </c>
      <c r="E122" s="26">
        <f>'Функц. 2024-2026'!H830</f>
        <v>154</v>
      </c>
      <c r="F122" s="26">
        <f>'Функц. 2024-2026'!J830</f>
        <v>60.1</v>
      </c>
      <c r="G122" s="559">
        <f t="shared" si="31"/>
        <v>0.39025974025974025</v>
      </c>
      <c r="H122" s="68"/>
    </row>
    <row r="123" spans="1:8" x14ac:dyDescent="0.25">
      <c r="A123" s="216" t="s">
        <v>98</v>
      </c>
      <c r="B123" s="226" t="s">
        <v>499</v>
      </c>
      <c r="C123" s="530">
        <v>300</v>
      </c>
      <c r="D123" s="26">
        <f>D124</f>
        <v>15389</v>
      </c>
      <c r="E123" s="26">
        <f>E124</f>
        <v>15389</v>
      </c>
      <c r="F123" s="26">
        <f>F124</f>
        <v>13072.1</v>
      </c>
      <c r="G123" s="559">
        <f t="shared" si="31"/>
        <v>0.84944440834362211</v>
      </c>
      <c r="H123" s="68"/>
    </row>
    <row r="124" spans="1:8" x14ac:dyDescent="0.25">
      <c r="A124" s="216" t="s">
        <v>131</v>
      </c>
      <c r="B124" s="226" t="s">
        <v>499</v>
      </c>
      <c r="C124" s="530">
        <v>310</v>
      </c>
      <c r="D124" s="26">
        <f>'Функц. 2024-2026'!F832</f>
        <v>15389</v>
      </c>
      <c r="E124" s="26">
        <f>'Функц. 2024-2026'!H832</f>
        <v>15389</v>
      </c>
      <c r="F124" s="26">
        <f>'Функц. 2024-2026'!J832</f>
        <v>13072.1</v>
      </c>
      <c r="G124" s="559">
        <f t="shared" si="31"/>
        <v>0.84944440834362211</v>
      </c>
      <c r="H124" s="68"/>
    </row>
    <row r="125" spans="1:8" ht="31.5" x14ac:dyDescent="0.25">
      <c r="A125" s="216" t="s">
        <v>61</v>
      </c>
      <c r="B125" s="226" t="s">
        <v>499</v>
      </c>
      <c r="C125" s="530">
        <v>600</v>
      </c>
      <c r="D125" s="26">
        <f>D126</f>
        <v>816</v>
      </c>
      <c r="E125" s="26">
        <f>E126</f>
        <v>816</v>
      </c>
      <c r="F125" s="26">
        <f>F126</f>
        <v>816</v>
      </c>
      <c r="G125" s="559">
        <f t="shared" si="31"/>
        <v>1</v>
      </c>
      <c r="H125" s="68"/>
    </row>
    <row r="126" spans="1:8" x14ac:dyDescent="0.25">
      <c r="A126" s="216" t="s">
        <v>62</v>
      </c>
      <c r="B126" s="226" t="s">
        <v>499</v>
      </c>
      <c r="C126" s="530">
        <v>610</v>
      </c>
      <c r="D126" s="26">
        <f>'Функц. 2024-2026'!F834</f>
        <v>816</v>
      </c>
      <c r="E126" s="26">
        <f>'Функц. 2024-2026'!H834</f>
        <v>816</v>
      </c>
      <c r="F126" s="26">
        <f>'Функц. 2024-2026'!J834</f>
        <v>816</v>
      </c>
      <c r="G126" s="559">
        <f t="shared" si="31"/>
        <v>1</v>
      </c>
      <c r="H126" s="68"/>
    </row>
    <row r="127" spans="1:8" ht="31.5" x14ac:dyDescent="0.25">
      <c r="A127" s="197" t="s">
        <v>687</v>
      </c>
      <c r="B127" s="226" t="s">
        <v>686</v>
      </c>
      <c r="C127" s="457"/>
      <c r="D127" s="26">
        <f t="shared" ref="D127:F128" si="48">D128</f>
        <v>1250</v>
      </c>
      <c r="E127" s="26">
        <f t="shared" si="48"/>
        <v>1250</v>
      </c>
      <c r="F127" s="26">
        <f t="shared" si="48"/>
        <v>700</v>
      </c>
      <c r="G127" s="559">
        <f t="shared" si="31"/>
        <v>0.56000000000000005</v>
      </c>
      <c r="H127" s="68"/>
    </row>
    <row r="128" spans="1:8" ht="31.5" x14ac:dyDescent="0.25">
      <c r="A128" s="197" t="s">
        <v>61</v>
      </c>
      <c r="B128" s="226" t="s">
        <v>686</v>
      </c>
      <c r="C128" s="457">
        <v>600</v>
      </c>
      <c r="D128" s="26">
        <f t="shared" si="48"/>
        <v>1250</v>
      </c>
      <c r="E128" s="26">
        <f t="shared" si="48"/>
        <v>1250</v>
      </c>
      <c r="F128" s="26">
        <f t="shared" si="48"/>
        <v>700</v>
      </c>
      <c r="G128" s="559">
        <f t="shared" si="31"/>
        <v>0.56000000000000005</v>
      </c>
      <c r="H128" s="68"/>
    </row>
    <row r="129" spans="1:8" x14ac:dyDescent="0.25">
      <c r="A129" s="197" t="s">
        <v>62</v>
      </c>
      <c r="B129" s="226" t="s">
        <v>686</v>
      </c>
      <c r="C129" s="457">
        <v>610</v>
      </c>
      <c r="D129" s="26">
        <f>'Функц. 2024-2026'!F589+'Функц. 2024-2026'!F565</f>
        <v>1250</v>
      </c>
      <c r="E129" s="129">
        <f>'Функц. 2024-2026'!H589+'Функц. 2024-2026'!H565</f>
        <v>1250</v>
      </c>
      <c r="F129" s="562">
        <f>'Функц. 2024-2026'!J589+'Функц. 2024-2026'!J565</f>
        <v>700</v>
      </c>
      <c r="G129" s="559">
        <f t="shared" si="31"/>
        <v>0.56000000000000005</v>
      </c>
      <c r="H129" s="68"/>
    </row>
    <row r="130" spans="1:8" ht="86.25" customHeight="1" x14ac:dyDescent="0.25">
      <c r="A130" s="347" t="s">
        <v>792</v>
      </c>
      <c r="B130" s="351" t="s">
        <v>793</v>
      </c>
      <c r="C130" s="532"/>
      <c r="D130" s="26">
        <f>D131</f>
        <v>104.2</v>
      </c>
      <c r="E130" s="26">
        <f t="shared" ref="E130:F131" si="49">E131</f>
        <v>104.2</v>
      </c>
      <c r="F130" s="26">
        <f t="shared" si="49"/>
        <v>104.2</v>
      </c>
      <c r="G130" s="559">
        <f t="shared" si="31"/>
        <v>1</v>
      </c>
      <c r="H130" s="68"/>
    </row>
    <row r="131" spans="1:8" ht="31.5" x14ac:dyDescent="0.25">
      <c r="A131" s="347" t="s">
        <v>61</v>
      </c>
      <c r="B131" s="351" t="s">
        <v>793</v>
      </c>
      <c r="C131" s="532">
        <v>600</v>
      </c>
      <c r="D131" s="26">
        <f>D132</f>
        <v>104.2</v>
      </c>
      <c r="E131" s="26">
        <f t="shared" si="49"/>
        <v>104.2</v>
      </c>
      <c r="F131" s="26">
        <f t="shared" si="49"/>
        <v>104.2</v>
      </c>
      <c r="G131" s="559">
        <f t="shared" si="31"/>
        <v>1</v>
      </c>
      <c r="H131" s="68"/>
    </row>
    <row r="132" spans="1:8" x14ac:dyDescent="0.25">
      <c r="A132" s="347" t="s">
        <v>62</v>
      </c>
      <c r="B132" s="351" t="s">
        <v>793</v>
      </c>
      <c r="C132" s="532">
        <v>610</v>
      </c>
      <c r="D132" s="26">
        <f>'Функц. 2024-2026'!F592</f>
        <v>104.2</v>
      </c>
      <c r="E132" s="26">
        <f>'Функц. 2024-2026'!H592</f>
        <v>104.2</v>
      </c>
      <c r="F132" s="26">
        <f>'Функц. 2024-2026'!J592</f>
        <v>104.2</v>
      </c>
      <c r="G132" s="559">
        <f t="shared" si="31"/>
        <v>1</v>
      </c>
      <c r="H132" s="68"/>
    </row>
    <row r="133" spans="1:8" ht="157.5" x14ac:dyDescent="0.25">
      <c r="A133" s="216" t="s">
        <v>547</v>
      </c>
      <c r="B133" s="233" t="s">
        <v>705</v>
      </c>
      <c r="C133" s="530"/>
      <c r="D133" s="26">
        <f t="shared" ref="D133:F134" si="50">D134</f>
        <v>34582</v>
      </c>
      <c r="E133" s="26">
        <f t="shared" si="50"/>
        <v>34582</v>
      </c>
      <c r="F133" s="26">
        <f t="shared" si="50"/>
        <v>34582</v>
      </c>
      <c r="G133" s="559">
        <f t="shared" si="31"/>
        <v>1</v>
      </c>
      <c r="H133" s="68"/>
    </row>
    <row r="134" spans="1:8" ht="31.5" x14ac:dyDescent="0.25">
      <c r="A134" s="197" t="s">
        <v>61</v>
      </c>
      <c r="B134" s="233" t="s">
        <v>705</v>
      </c>
      <c r="C134" s="530">
        <v>600</v>
      </c>
      <c r="D134" s="26">
        <f t="shared" si="50"/>
        <v>34582</v>
      </c>
      <c r="E134" s="26">
        <f t="shared" si="50"/>
        <v>34582</v>
      </c>
      <c r="F134" s="26">
        <f t="shared" si="50"/>
        <v>34582</v>
      </c>
      <c r="G134" s="559">
        <f t="shared" si="31"/>
        <v>1</v>
      </c>
      <c r="H134" s="68"/>
    </row>
    <row r="135" spans="1:8" x14ac:dyDescent="0.25">
      <c r="A135" s="197" t="s">
        <v>62</v>
      </c>
      <c r="B135" s="233" t="s">
        <v>705</v>
      </c>
      <c r="C135" s="530">
        <v>610</v>
      </c>
      <c r="D135" s="26">
        <f>'Функц. 2024-2026'!F595</f>
        <v>34582</v>
      </c>
      <c r="E135" s="26">
        <f>'Функц. 2024-2026'!H595</f>
        <v>34582</v>
      </c>
      <c r="F135" s="26">
        <f>'Функц. 2024-2026'!J595</f>
        <v>34582</v>
      </c>
      <c r="G135" s="559">
        <f t="shared" si="31"/>
        <v>1</v>
      </c>
      <c r="H135" s="68"/>
    </row>
    <row r="136" spans="1:8" ht="47.25" x14ac:dyDescent="0.25">
      <c r="A136" s="216" t="s">
        <v>480</v>
      </c>
      <c r="B136" s="226" t="s">
        <v>126</v>
      </c>
      <c r="C136" s="530"/>
      <c r="D136" s="26">
        <f>D137+D143+D146+D140</f>
        <v>49725.500000000007</v>
      </c>
      <c r="E136" s="26">
        <f t="shared" ref="E136:F136" si="51">E137+E143+E146+E140</f>
        <v>49725.500000000007</v>
      </c>
      <c r="F136" s="26">
        <f t="shared" si="51"/>
        <v>48469.5</v>
      </c>
      <c r="G136" s="559">
        <f t="shared" si="31"/>
        <v>0.97474132990115725</v>
      </c>
      <c r="H136" s="68"/>
    </row>
    <row r="137" spans="1:8" ht="31.5" x14ac:dyDescent="0.25">
      <c r="A137" s="216" t="s">
        <v>545</v>
      </c>
      <c r="B137" s="226" t="s">
        <v>504</v>
      </c>
      <c r="C137" s="530"/>
      <c r="D137" s="26">
        <f t="shared" ref="D137:F138" si="52">D138</f>
        <v>9</v>
      </c>
      <c r="E137" s="26">
        <f t="shared" si="52"/>
        <v>9</v>
      </c>
      <c r="F137" s="26">
        <f t="shared" si="52"/>
        <v>6.5</v>
      </c>
      <c r="G137" s="559">
        <f t="shared" si="31"/>
        <v>0.72222222222222221</v>
      </c>
      <c r="H137" s="68"/>
    </row>
    <row r="138" spans="1:8" ht="31.5" x14ac:dyDescent="0.25">
      <c r="A138" s="216" t="s">
        <v>61</v>
      </c>
      <c r="B138" s="226" t="s">
        <v>504</v>
      </c>
      <c r="C138" s="458">
        <v>600</v>
      </c>
      <c r="D138" s="26">
        <f t="shared" si="52"/>
        <v>9</v>
      </c>
      <c r="E138" s="26">
        <f t="shared" si="52"/>
        <v>9</v>
      </c>
      <c r="F138" s="26">
        <f t="shared" si="52"/>
        <v>6.5</v>
      </c>
      <c r="G138" s="559">
        <f t="shared" si="31"/>
        <v>0.72222222222222221</v>
      </c>
      <c r="H138" s="68"/>
    </row>
    <row r="139" spans="1:8" x14ac:dyDescent="0.25">
      <c r="A139" s="216" t="s">
        <v>62</v>
      </c>
      <c r="B139" s="226" t="s">
        <v>504</v>
      </c>
      <c r="C139" s="458">
        <v>610</v>
      </c>
      <c r="D139" s="26">
        <f>'Функц. 2024-2026'!F599</f>
        <v>9</v>
      </c>
      <c r="E139" s="26">
        <f>'Функц. 2024-2026'!I599</f>
        <v>9</v>
      </c>
      <c r="F139" s="26">
        <f>'Функц. 2024-2026'!J599</f>
        <v>6.5</v>
      </c>
      <c r="G139" s="559">
        <f t="shared" ref="G139:G202" si="53">F139/E139</f>
        <v>0.72222222222222221</v>
      </c>
      <c r="H139" s="68"/>
    </row>
    <row r="140" spans="1:8" ht="31.5" x14ac:dyDescent="0.25">
      <c r="A140" s="197" t="s">
        <v>548</v>
      </c>
      <c r="B140" s="233" t="s">
        <v>505</v>
      </c>
      <c r="C140" s="530"/>
      <c r="D140" s="26">
        <f t="shared" ref="D140:F141" si="54">D141</f>
        <v>30036.500000000007</v>
      </c>
      <c r="E140" s="26">
        <f t="shared" si="54"/>
        <v>30036.500000000007</v>
      </c>
      <c r="F140" s="26">
        <f t="shared" si="54"/>
        <v>30036.6</v>
      </c>
      <c r="G140" s="559">
        <f t="shared" si="53"/>
        <v>1.0000033292827057</v>
      </c>
      <c r="H140" s="68"/>
    </row>
    <row r="141" spans="1:8" x14ac:dyDescent="0.25">
      <c r="A141" s="216" t="s">
        <v>121</v>
      </c>
      <c r="B141" s="233" t="s">
        <v>505</v>
      </c>
      <c r="C141" s="530">
        <v>200</v>
      </c>
      <c r="D141" s="26">
        <f t="shared" si="54"/>
        <v>30036.500000000007</v>
      </c>
      <c r="E141" s="26">
        <f t="shared" si="54"/>
        <v>30036.500000000007</v>
      </c>
      <c r="F141" s="26">
        <f t="shared" si="54"/>
        <v>30036.6</v>
      </c>
      <c r="G141" s="559">
        <f t="shared" si="53"/>
        <v>1.0000033292827057</v>
      </c>
      <c r="H141" s="68"/>
    </row>
    <row r="142" spans="1:8" x14ac:dyDescent="0.25">
      <c r="A142" s="216" t="s">
        <v>52</v>
      </c>
      <c r="B142" s="233" t="s">
        <v>505</v>
      </c>
      <c r="C142" s="530">
        <v>240</v>
      </c>
      <c r="D142" s="26">
        <f>'Функц. 2024-2026'!F602</f>
        <v>30036.500000000007</v>
      </c>
      <c r="E142" s="26">
        <f>'Функц. 2024-2026'!H602</f>
        <v>30036.500000000007</v>
      </c>
      <c r="F142" s="26">
        <f>'Функц. 2024-2026'!J602</f>
        <v>30036.6</v>
      </c>
      <c r="G142" s="559">
        <f t="shared" si="53"/>
        <v>1.0000033292827057</v>
      </c>
      <c r="H142" s="68"/>
    </row>
    <row r="143" spans="1:8" ht="47.25" x14ac:dyDescent="0.25">
      <c r="A143" s="200" t="s">
        <v>549</v>
      </c>
      <c r="B143" s="226" t="s">
        <v>506</v>
      </c>
      <c r="C143" s="534"/>
      <c r="D143" s="26">
        <f t="shared" ref="D143:F144" si="55">D144</f>
        <v>18220</v>
      </c>
      <c r="E143" s="26">
        <f t="shared" si="55"/>
        <v>18220</v>
      </c>
      <c r="F143" s="26">
        <f t="shared" si="55"/>
        <v>17588.8</v>
      </c>
      <c r="G143" s="559">
        <f t="shared" si="53"/>
        <v>0.9653567508232711</v>
      </c>
      <c r="H143" s="68"/>
    </row>
    <row r="144" spans="1:8" x14ac:dyDescent="0.25">
      <c r="A144" s="216" t="s">
        <v>121</v>
      </c>
      <c r="B144" s="226" t="s">
        <v>506</v>
      </c>
      <c r="C144" s="530">
        <v>200</v>
      </c>
      <c r="D144" s="26">
        <f t="shared" si="55"/>
        <v>18220</v>
      </c>
      <c r="E144" s="26">
        <f t="shared" si="55"/>
        <v>18220</v>
      </c>
      <c r="F144" s="26">
        <f t="shared" si="55"/>
        <v>17588.8</v>
      </c>
      <c r="G144" s="559">
        <f t="shared" si="53"/>
        <v>0.9653567508232711</v>
      </c>
      <c r="H144" s="68"/>
    </row>
    <row r="145" spans="1:8" x14ac:dyDescent="0.25">
      <c r="A145" s="216" t="s">
        <v>52</v>
      </c>
      <c r="B145" s="226" t="s">
        <v>506</v>
      </c>
      <c r="C145" s="530">
        <v>240</v>
      </c>
      <c r="D145" s="26">
        <f>'Функц. 2024-2026'!F605</f>
        <v>18220</v>
      </c>
      <c r="E145" s="26">
        <f>'Функц. 2024-2026'!H605</f>
        <v>18220</v>
      </c>
      <c r="F145" s="26">
        <f>'Функц. 2024-2026'!J605</f>
        <v>17588.8</v>
      </c>
      <c r="G145" s="559">
        <f t="shared" si="53"/>
        <v>0.9653567508232711</v>
      </c>
      <c r="H145" s="68"/>
    </row>
    <row r="146" spans="1:8" ht="63" x14ac:dyDescent="0.25">
      <c r="A146" s="197" t="s">
        <v>730</v>
      </c>
      <c r="B146" s="226" t="s">
        <v>731</v>
      </c>
      <c r="C146" s="459"/>
      <c r="D146" s="26">
        <f t="shared" ref="D146:F147" si="56">D147</f>
        <v>1460</v>
      </c>
      <c r="E146" s="26">
        <f t="shared" si="56"/>
        <v>1460</v>
      </c>
      <c r="F146" s="26">
        <f t="shared" si="56"/>
        <v>837.6</v>
      </c>
      <c r="G146" s="559">
        <f t="shared" si="53"/>
        <v>0.5736986301369863</v>
      </c>
      <c r="H146" s="68"/>
    </row>
    <row r="147" spans="1:8" ht="31.5" x14ac:dyDescent="0.25">
      <c r="A147" s="197" t="s">
        <v>61</v>
      </c>
      <c r="B147" s="226" t="s">
        <v>731</v>
      </c>
      <c r="C147" s="459">
        <v>600</v>
      </c>
      <c r="D147" s="26">
        <f t="shared" si="56"/>
        <v>1460</v>
      </c>
      <c r="E147" s="26">
        <f t="shared" si="56"/>
        <v>1460</v>
      </c>
      <c r="F147" s="26">
        <f t="shared" si="56"/>
        <v>837.6</v>
      </c>
      <c r="G147" s="559">
        <f t="shared" si="53"/>
        <v>0.5736986301369863</v>
      </c>
      <c r="H147" s="68"/>
    </row>
    <row r="148" spans="1:8" x14ac:dyDescent="0.25">
      <c r="A148" s="197" t="s">
        <v>62</v>
      </c>
      <c r="B148" s="226" t="s">
        <v>731</v>
      </c>
      <c r="C148" s="459">
        <v>610</v>
      </c>
      <c r="D148" s="26">
        <f>'Функц. 2024-2026'!F569</f>
        <v>1460</v>
      </c>
      <c r="E148" s="26">
        <f>'Функц. 2024-2026'!H569</f>
        <v>1460</v>
      </c>
      <c r="F148" s="26">
        <f>'Функц. 2024-2026'!J569</f>
        <v>837.6</v>
      </c>
      <c r="G148" s="559">
        <f t="shared" si="53"/>
        <v>0.5736986301369863</v>
      </c>
      <c r="H148" s="68"/>
    </row>
    <row r="149" spans="1:8" ht="47.25" x14ac:dyDescent="0.25">
      <c r="A149" s="214" t="s">
        <v>321</v>
      </c>
      <c r="B149" s="226" t="s">
        <v>507</v>
      </c>
      <c r="C149" s="458"/>
      <c r="D149" s="26">
        <f>D150+D153</f>
        <v>14735.5</v>
      </c>
      <c r="E149" s="26">
        <f>E150+E153</f>
        <v>14735.5</v>
      </c>
      <c r="F149" s="26">
        <f>F150+F153</f>
        <v>9721.4</v>
      </c>
      <c r="G149" s="559">
        <f t="shared" si="53"/>
        <v>0.65972651080723421</v>
      </c>
      <c r="H149" s="68"/>
    </row>
    <row r="150" spans="1:8" ht="47.25" x14ac:dyDescent="0.25">
      <c r="A150" s="214" t="s">
        <v>465</v>
      </c>
      <c r="B150" s="226" t="s">
        <v>508</v>
      </c>
      <c r="C150" s="458"/>
      <c r="D150" s="26">
        <f t="shared" ref="D150:F151" si="57">D151</f>
        <v>11823.5</v>
      </c>
      <c r="E150" s="26">
        <f t="shared" si="57"/>
        <v>11823.5</v>
      </c>
      <c r="F150" s="26">
        <f t="shared" si="57"/>
        <v>7151</v>
      </c>
      <c r="G150" s="559">
        <f t="shared" si="53"/>
        <v>0.60481244978221338</v>
      </c>
      <c r="H150" s="68"/>
    </row>
    <row r="151" spans="1:8" ht="31.5" x14ac:dyDescent="0.25">
      <c r="A151" s="216" t="s">
        <v>61</v>
      </c>
      <c r="B151" s="226" t="s">
        <v>508</v>
      </c>
      <c r="C151" s="458">
        <v>600</v>
      </c>
      <c r="D151" s="26">
        <f t="shared" si="57"/>
        <v>11823.5</v>
      </c>
      <c r="E151" s="26">
        <f t="shared" si="57"/>
        <v>11823.5</v>
      </c>
      <c r="F151" s="26">
        <f t="shared" si="57"/>
        <v>7151</v>
      </c>
      <c r="G151" s="559">
        <f t="shared" si="53"/>
        <v>0.60481244978221338</v>
      </c>
      <c r="H151" s="68"/>
    </row>
    <row r="152" spans="1:8" x14ac:dyDescent="0.25">
      <c r="A152" s="216" t="s">
        <v>62</v>
      </c>
      <c r="B152" s="226" t="s">
        <v>508</v>
      </c>
      <c r="C152" s="458">
        <v>610</v>
      </c>
      <c r="D152" s="26">
        <f>'Функц. 2024-2026'!F609</f>
        <v>11823.5</v>
      </c>
      <c r="E152" s="26">
        <f>'Функц. 2024-2026'!H609</f>
        <v>11823.5</v>
      </c>
      <c r="F152" s="26">
        <f>'Функц. 2024-2026'!J609</f>
        <v>7151</v>
      </c>
      <c r="G152" s="559">
        <f t="shared" si="53"/>
        <v>0.60481244978221338</v>
      </c>
      <c r="H152" s="68"/>
    </row>
    <row r="153" spans="1:8" ht="63" x14ac:dyDescent="0.25">
      <c r="A153" s="197" t="s">
        <v>688</v>
      </c>
      <c r="B153" s="226" t="s">
        <v>685</v>
      </c>
      <c r="C153" s="536"/>
      <c r="D153" s="26">
        <f t="shared" ref="D153:F154" si="58">D154</f>
        <v>2912</v>
      </c>
      <c r="E153" s="26">
        <f t="shared" si="58"/>
        <v>2912</v>
      </c>
      <c r="F153" s="26">
        <f t="shared" si="58"/>
        <v>2570.4</v>
      </c>
      <c r="G153" s="559">
        <f t="shared" si="53"/>
        <v>0.88269230769230778</v>
      </c>
      <c r="H153" s="68"/>
    </row>
    <row r="154" spans="1:8" ht="31.5" x14ac:dyDescent="0.25">
      <c r="A154" s="197" t="s">
        <v>61</v>
      </c>
      <c r="B154" s="226" t="s">
        <v>685</v>
      </c>
      <c r="C154" s="459">
        <v>600</v>
      </c>
      <c r="D154" s="26">
        <f t="shared" si="58"/>
        <v>2912</v>
      </c>
      <c r="E154" s="26">
        <f t="shared" si="58"/>
        <v>2912</v>
      </c>
      <c r="F154" s="26">
        <f t="shared" si="58"/>
        <v>2570.4</v>
      </c>
      <c r="G154" s="559">
        <f t="shared" si="53"/>
        <v>0.88269230769230778</v>
      </c>
      <c r="H154" s="68"/>
    </row>
    <row r="155" spans="1:8" x14ac:dyDescent="0.25">
      <c r="A155" s="197" t="s">
        <v>62</v>
      </c>
      <c r="B155" s="226" t="s">
        <v>685</v>
      </c>
      <c r="C155" s="459">
        <v>610</v>
      </c>
      <c r="D155" s="26">
        <f>'Функц. 2024-2026'!F612</f>
        <v>2912</v>
      </c>
      <c r="E155" s="26">
        <f>'Функц. 2024-2026'!H612</f>
        <v>2912</v>
      </c>
      <c r="F155" s="26">
        <f>'Функц. 2024-2026'!J612</f>
        <v>2570.4</v>
      </c>
      <c r="G155" s="559">
        <f t="shared" si="53"/>
        <v>0.88269230769230778</v>
      </c>
      <c r="H155" s="68"/>
    </row>
    <row r="156" spans="1:8" x14ac:dyDescent="0.25">
      <c r="A156" s="197" t="s">
        <v>697</v>
      </c>
      <c r="B156" s="226" t="s">
        <v>698</v>
      </c>
      <c r="C156" s="459"/>
      <c r="D156" s="26">
        <f>D157</f>
        <v>6443.5</v>
      </c>
      <c r="E156" s="26">
        <f t="shared" ref="E156:F158" si="59">E157</f>
        <v>6443.5</v>
      </c>
      <c r="F156" s="26">
        <f t="shared" si="59"/>
        <v>6380.6</v>
      </c>
      <c r="G156" s="559">
        <f t="shared" si="53"/>
        <v>0.99023822456739352</v>
      </c>
      <c r="H156" s="68"/>
    </row>
    <row r="157" spans="1:8" ht="94.5" x14ac:dyDescent="0.25">
      <c r="A157" s="197" t="s">
        <v>700</v>
      </c>
      <c r="B157" s="226" t="s">
        <v>699</v>
      </c>
      <c r="C157" s="459"/>
      <c r="D157" s="26">
        <f>D158</f>
        <v>6443.5</v>
      </c>
      <c r="E157" s="26">
        <f t="shared" si="59"/>
        <v>6443.5</v>
      </c>
      <c r="F157" s="26">
        <f t="shared" si="59"/>
        <v>6380.6</v>
      </c>
      <c r="G157" s="559">
        <f t="shared" si="53"/>
        <v>0.99023822456739352</v>
      </c>
      <c r="H157" s="68"/>
    </row>
    <row r="158" spans="1:8" x14ac:dyDescent="0.25">
      <c r="A158" s="216" t="s">
        <v>121</v>
      </c>
      <c r="B158" s="226" t="s">
        <v>699</v>
      </c>
      <c r="C158" s="459">
        <v>200</v>
      </c>
      <c r="D158" s="26">
        <f>D159</f>
        <v>6443.5</v>
      </c>
      <c r="E158" s="26">
        <f t="shared" si="59"/>
        <v>6443.5</v>
      </c>
      <c r="F158" s="26">
        <f t="shared" si="59"/>
        <v>6380.6</v>
      </c>
      <c r="G158" s="559">
        <f t="shared" si="53"/>
        <v>0.99023822456739352</v>
      </c>
      <c r="H158" s="68"/>
    </row>
    <row r="159" spans="1:8" x14ac:dyDescent="0.25">
      <c r="A159" s="216" t="s">
        <v>52</v>
      </c>
      <c r="B159" s="226" t="s">
        <v>699</v>
      </c>
      <c r="C159" s="459">
        <v>240</v>
      </c>
      <c r="D159" s="26">
        <f>'Функц. 2024-2026'!F616</f>
        <v>6443.5</v>
      </c>
      <c r="E159" s="26">
        <f>'Функц. 2024-2026'!H616</f>
        <v>6443.5</v>
      </c>
      <c r="F159" s="26">
        <f>'Функц. 2024-2026'!J616</f>
        <v>6380.6</v>
      </c>
      <c r="G159" s="559">
        <f t="shared" si="53"/>
        <v>0.99023822456739352</v>
      </c>
      <c r="H159" s="68"/>
    </row>
    <row r="160" spans="1:8" x14ac:dyDescent="0.25">
      <c r="A160" s="199" t="s">
        <v>490</v>
      </c>
      <c r="B160" s="233" t="s">
        <v>664</v>
      </c>
      <c r="C160" s="458"/>
      <c r="D160" s="300">
        <f t="shared" ref="D160:F162" si="60">D161</f>
        <v>1675.2</v>
      </c>
      <c r="E160" s="300">
        <f t="shared" si="60"/>
        <v>1675.2</v>
      </c>
      <c r="F160" s="300">
        <f t="shared" si="60"/>
        <v>1675.2</v>
      </c>
      <c r="G160" s="559">
        <f t="shared" si="53"/>
        <v>1</v>
      </c>
      <c r="H160" s="68"/>
    </row>
    <row r="161" spans="1:8" ht="157.5" x14ac:dyDescent="0.25">
      <c r="A161" s="197" t="s">
        <v>660</v>
      </c>
      <c r="B161" s="287" t="s">
        <v>661</v>
      </c>
      <c r="C161" s="537"/>
      <c r="D161" s="316">
        <f t="shared" si="60"/>
        <v>1675.2</v>
      </c>
      <c r="E161" s="316">
        <f t="shared" si="60"/>
        <v>1675.2</v>
      </c>
      <c r="F161" s="316">
        <f t="shared" si="60"/>
        <v>1675.2</v>
      </c>
      <c r="G161" s="559">
        <f t="shared" si="53"/>
        <v>1</v>
      </c>
      <c r="H161" s="68"/>
    </row>
    <row r="162" spans="1:8" ht="31.5" x14ac:dyDescent="0.25">
      <c r="A162" s="197" t="s">
        <v>61</v>
      </c>
      <c r="B162" s="287" t="s">
        <v>661</v>
      </c>
      <c r="C162" s="458">
        <v>600</v>
      </c>
      <c r="D162" s="316">
        <f t="shared" si="60"/>
        <v>1675.2</v>
      </c>
      <c r="E162" s="316">
        <f t="shared" si="60"/>
        <v>1675.2</v>
      </c>
      <c r="F162" s="316">
        <f t="shared" si="60"/>
        <v>1675.2</v>
      </c>
      <c r="G162" s="559">
        <f t="shared" si="53"/>
        <v>1</v>
      </c>
      <c r="H162" s="68"/>
    </row>
    <row r="163" spans="1:8" x14ac:dyDescent="0.25">
      <c r="A163" s="197" t="s">
        <v>62</v>
      </c>
      <c r="B163" s="287" t="s">
        <v>661</v>
      </c>
      <c r="C163" s="458">
        <v>610</v>
      </c>
      <c r="D163" s="300">
        <f>'Функц. 2024-2026'!F620</f>
        <v>1675.2</v>
      </c>
      <c r="E163" s="300">
        <f>'Функц. 2024-2026'!H620</f>
        <v>1675.2</v>
      </c>
      <c r="F163" s="28">
        <f>'Функц. 2024-2026'!J620</f>
        <v>1675.2</v>
      </c>
      <c r="G163" s="559">
        <f t="shared" si="53"/>
        <v>1</v>
      </c>
      <c r="H163" s="68"/>
    </row>
    <row r="164" spans="1:8" ht="31.5" x14ac:dyDescent="0.25">
      <c r="A164" s="197" t="s">
        <v>509</v>
      </c>
      <c r="B164" s="226" t="s">
        <v>102</v>
      </c>
      <c r="C164" s="538"/>
      <c r="D164" s="26">
        <f>D165+D179</f>
        <v>76548.399999999994</v>
      </c>
      <c r="E164" s="26">
        <f>E165+E179</f>
        <v>76548.399999999994</v>
      </c>
      <c r="F164" s="26">
        <f>F165+F179</f>
        <v>76413.5</v>
      </c>
      <c r="G164" s="559">
        <f t="shared" si="53"/>
        <v>0.99823771626840019</v>
      </c>
      <c r="H164" s="68"/>
    </row>
    <row r="165" spans="1:8" ht="31.5" x14ac:dyDescent="0.25">
      <c r="A165" s="214" t="s">
        <v>510</v>
      </c>
      <c r="B165" s="226" t="s">
        <v>511</v>
      </c>
      <c r="C165" s="538"/>
      <c r="D165" s="26">
        <f>D169+D166+D176</f>
        <v>48647.499999999993</v>
      </c>
      <c r="E165" s="26">
        <f t="shared" ref="E165" si="61">E169+E166+E176</f>
        <v>48647.499999999993</v>
      </c>
      <c r="F165" s="26">
        <f t="shared" ref="F165" si="62">F169+F166+F176</f>
        <v>48512.6</v>
      </c>
      <c r="G165" s="559">
        <f t="shared" si="53"/>
        <v>0.99722699008171034</v>
      </c>
      <c r="H165" s="68"/>
    </row>
    <row r="166" spans="1:8" ht="31.5" x14ac:dyDescent="0.25">
      <c r="A166" s="199" t="s">
        <v>722</v>
      </c>
      <c r="B166" s="226" t="s">
        <v>723</v>
      </c>
      <c r="C166" s="535"/>
      <c r="D166" s="26">
        <f t="shared" ref="D166:F167" si="63">D167</f>
        <v>4500</v>
      </c>
      <c r="E166" s="26">
        <f t="shared" si="63"/>
        <v>4500</v>
      </c>
      <c r="F166" s="26">
        <f t="shared" si="63"/>
        <v>4429.6000000000004</v>
      </c>
      <c r="G166" s="559">
        <f t="shared" si="53"/>
        <v>0.98435555555555565</v>
      </c>
      <c r="H166" s="68"/>
    </row>
    <row r="167" spans="1:8" ht="31.5" x14ac:dyDescent="0.25">
      <c r="A167" s="197" t="s">
        <v>61</v>
      </c>
      <c r="B167" s="226" t="s">
        <v>723</v>
      </c>
      <c r="C167" s="457">
        <v>600</v>
      </c>
      <c r="D167" s="26">
        <f t="shared" si="63"/>
        <v>4500</v>
      </c>
      <c r="E167" s="26">
        <f t="shared" si="63"/>
        <v>4500</v>
      </c>
      <c r="F167" s="26">
        <f t="shared" si="63"/>
        <v>4429.6000000000004</v>
      </c>
      <c r="G167" s="559">
        <f t="shared" si="53"/>
        <v>0.98435555555555565</v>
      </c>
      <c r="H167" s="68"/>
    </row>
    <row r="168" spans="1:8" x14ac:dyDescent="0.25">
      <c r="A168" s="197" t="s">
        <v>62</v>
      </c>
      <c r="B168" s="226" t="s">
        <v>723</v>
      </c>
      <c r="C168" s="457">
        <v>610</v>
      </c>
      <c r="D168" s="26">
        <f>'Функц. 2024-2026'!F659</f>
        <v>4500</v>
      </c>
      <c r="E168" s="26">
        <f>'Функц. 2024-2026'!H659</f>
        <v>4500</v>
      </c>
      <c r="F168" s="26">
        <f>'Функц. 2024-2026'!J659</f>
        <v>4429.6000000000004</v>
      </c>
      <c r="G168" s="559">
        <f t="shared" si="53"/>
        <v>0.98435555555555565</v>
      </c>
      <c r="H168" s="68"/>
    </row>
    <row r="169" spans="1:8" ht="31.5" x14ac:dyDescent="0.25">
      <c r="A169" s="214" t="s">
        <v>277</v>
      </c>
      <c r="B169" s="226" t="s">
        <v>512</v>
      </c>
      <c r="C169" s="538"/>
      <c r="D169" s="26">
        <f>D170+D173</f>
        <v>42099.499999999993</v>
      </c>
      <c r="E169" s="26">
        <f t="shared" ref="E169" si="64">E170+E173</f>
        <v>42099.499999999993</v>
      </c>
      <c r="F169" s="26">
        <f t="shared" ref="F169" si="65">F170+F173</f>
        <v>42035</v>
      </c>
      <c r="G169" s="559">
        <f t="shared" si="53"/>
        <v>0.99846791529590628</v>
      </c>
      <c r="H169" s="68"/>
    </row>
    <row r="170" spans="1:8" ht="31.5" x14ac:dyDescent="0.25">
      <c r="A170" s="216" t="s">
        <v>343</v>
      </c>
      <c r="B170" s="226" t="s">
        <v>513</v>
      </c>
      <c r="C170" s="539"/>
      <c r="D170" s="26">
        <f>D172</f>
        <v>42009.499999999993</v>
      </c>
      <c r="E170" s="26">
        <f>E172</f>
        <v>42009.499999999993</v>
      </c>
      <c r="F170" s="26">
        <f>F172</f>
        <v>42009.5</v>
      </c>
      <c r="G170" s="559">
        <f t="shared" si="53"/>
        <v>1.0000000000000002</v>
      </c>
      <c r="H170" s="68"/>
    </row>
    <row r="171" spans="1:8" ht="31.5" x14ac:dyDescent="0.25">
      <c r="A171" s="216" t="s">
        <v>61</v>
      </c>
      <c r="B171" s="226" t="s">
        <v>513</v>
      </c>
      <c r="C171" s="530">
        <v>600</v>
      </c>
      <c r="D171" s="26">
        <f>D172</f>
        <v>42009.499999999993</v>
      </c>
      <c r="E171" s="26">
        <f>E172</f>
        <v>42009.499999999993</v>
      </c>
      <c r="F171" s="26">
        <f>F172</f>
        <v>42009.5</v>
      </c>
      <c r="G171" s="559">
        <f t="shared" si="53"/>
        <v>1.0000000000000002</v>
      </c>
      <c r="H171" s="68"/>
    </row>
    <row r="172" spans="1:8" x14ac:dyDescent="0.25">
      <c r="A172" s="216" t="s">
        <v>62</v>
      </c>
      <c r="B172" s="226" t="s">
        <v>513</v>
      </c>
      <c r="C172" s="530">
        <v>610</v>
      </c>
      <c r="D172" s="26">
        <f>'ведом. 2024-2026'!AD743</f>
        <v>42009.499999999993</v>
      </c>
      <c r="E172" s="26">
        <f>'Функц. 2024-2026'!H663</f>
        <v>42009.499999999993</v>
      </c>
      <c r="F172" s="26">
        <f>'Функц. 2024-2026'!J663</f>
        <v>42009.5</v>
      </c>
      <c r="G172" s="559">
        <f t="shared" si="53"/>
        <v>1.0000000000000002</v>
      </c>
      <c r="H172" s="68"/>
    </row>
    <row r="173" spans="1:8" ht="31.5" x14ac:dyDescent="0.25">
      <c r="A173" s="216" t="s">
        <v>761</v>
      </c>
      <c r="B173" s="118" t="s">
        <v>762</v>
      </c>
      <c r="C173" s="458"/>
      <c r="D173" s="26">
        <f>D174</f>
        <v>90</v>
      </c>
      <c r="E173" s="26">
        <f t="shared" ref="E173:F173" si="66">E174</f>
        <v>90</v>
      </c>
      <c r="F173" s="26">
        <f t="shared" si="66"/>
        <v>25.5</v>
      </c>
      <c r="G173" s="559">
        <f t="shared" si="53"/>
        <v>0.28333333333333333</v>
      </c>
      <c r="H173" s="68"/>
    </row>
    <row r="174" spans="1:8" ht="31.5" x14ac:dyDescent="0.25">
      <c r="A174" s="216" t="s">
        <v>61</v>
      </c>
      <c r="B174" s="118" t="s">
        <v>762</v>
      </c>
      <c r="C174" s="458">
        <v>600</v>
      </c>
      <c r="D174" s="26">
        <f>D175</f>
        <v>90</v>
      </c>
      <c r="E174" s="26">
        <f t="shared" ref="E174:F174" si="67">E175</f>
        <v>90</v>
      </c>
      <c r="F174" s="26">
        <f t="shared" si="67"/>
        <v>25.5</v>
      </c>
      <c r="G174" s="559">
        <f t="shared" si="53"/>
        <v>0.28333333333333333</v>
      </c>
      <c r="H174" s="68"/>
    </row>
    <row r="175" spans="1:8" x14ac:dyDescent="0.25">
      <c r="A175" s="216" t="s">
        <v>62</v>
      </c>
      <c r="B175" s="118" t="s">
        <v>762</v>
      </c>
      <c r="C175" s="458">
        <v>610</v>
      </c>
      <c r="D175" s="26">
        <f>'Функц. 2024-2026'!F666</f>
        <v>90</v>
      </c>
      <c r="E175" s="26">
        <f>'Функц. 2024-2026'!H665</f>
        <v>90</v>
      </c>
      <c r="F175" s="26">
        <f>'Функц. 2024-2026'!J665</f>
        <v>25.5</v>
      </c>
      <c r="G175" s="559">
        <f t="shared" si="53"/>
        <v>0.28333333333333333</v>
      </c>
      <c r="H175" s="68"/>
    </row>
    <row r="176" spans="1:8" ht="31.5" x14ac:dyDescent="0.25">
      <c r="A176" s="216" t="s">
        <v>796</v>
      </c>
      <c r="B176" s="226" t="s">
        <v>814</v>
      </c>
      <c r="C176" s="459"/>
      <c r="D176" s="26">
        <f>D177</f>
        <v>2048</v>
      </c>
      <c r="E176" s="26">
        <f t="shared" ref="E176:F177" si="68">E177</f>
        <v>2048</v>
      </c>
      <c r="F176" s="26">
        <f t="shared" si="68"/>
        <v>2048</v>
      </c>
      <c r="G176" s="559">
        <f t="shared" si="53"/>
        <v>1</v>
      </c>
      <c r="H176" s="68"/>
    </row>
    <row r="177" spans="1:8" ht="31.5" x14ac:dyDescent="0.25">
      <c r="A177" s="216" t="s">
        <v>61</v>
      </c>
      <c r="B177" s="226" t="s">
        <v>814</v>
      </c>
      <c r="C177" s="458">
        <v>600</v>
      </c>
      <c r="D177" s="26">
        <f>D178</f>
        <v>2048</v>
      </c>
      <c r="E177" s="26">
        <f t="shared" si="68"/>
        <v>2048</v>
      </c>
      <c r="F177" s="26">
        <f t="shared" si="68"/>
        <v>2048</v>
      </c>
      <c r="G177" s="559">
        <f t="shared" si="53"/>
        <v>1</v>
      </c>
      <c r="H177" s="68"/>
    </row>
    <row r="178" spans="1:8" x14ac:dyDescent="0.25">
      <c r="A178" s="216" t="s">
        <v>62</v>
      </c>
      <c r="B178" s="226" t="s">
        <v>814</v>
      </c>
      <c r="C178" s="458">
        <v>610</v>
      </c>
      <c r="D178" s="26">
        <f>'Функц. 2024-2026'!F669</f>
        <v>2048</v>
      </c>
      <c r="E178" s="26">
        <f>'Функц. 2024-2026'!H669</f>
        <v>2048</v>
      </c>
      <c r="F178" s="26">
        <f>'Функц. 2024-2026'!J669</f>
        <v>2048</v>
      </c>
      <c r="G178" s="559">
        <f t="shared" si="53"/>
        <v>1</v>
      </c>
      <c r="H178" s="68"/>
    </row>
    <row r="179" spans="1:8" ht="31.5" x14ac:dyDescent="0.25">
      <c r="A179" s="214" t="s">
        <v>514</v>
      </c>
      <c r="B179" s="226" t="s">
        <v>515</v>
      </c>
      <c r="C179" s="530"/>
      <c r="D179" s="26">
        <f>D180</f>
        <v>27900.899999999998</v>
      </c>
      <c r="E179" s="26">
        <f>E180</f>
        <v>27900.899999999998</v>
      </c>
      <c r="F179" s="26">
        <f>F180</f>
        <v>27900.9</v>
      </c>
      <c r="G179" s="559">
        <f t="shared" si="53"/>
        <v>1.0000000000000002</v>
      </c>
      <c r="H179" s="68"/>
    </row>
    <row r="180" spans="1:8" ht="31.5" x14ac:dyDescent="0.25">
      <c r="A180" s="215" t="s">
        <v>157</v>
      </c>
      <c r="B180" s="226" t="s">
        <v>516</v>
      </c>
      <c r="C180" s="530"/>
      <c r="D180" s="26">
        <f>D181</f>
        <v>27900.899999999998</v>
      </c>
      <c r="E180" s="26">
        <f t="shared" ref="E180:F180" si="69">E181</f>
        <v>27900.899999999998</v>
      </c>
      <c r="F180" s="26">
        <f t="shared" si="69"/>
        <v>27900.9</v>
      </c>
      <c r="G180" s="559">
        <f t="shared" si="53"/>
        <v>1.0000000000000002</v>
      </c>
      <c r="H180" s="68"/>
    </row>
    <row r="181" spans="1:8" ht="31.5" x14ac:dyDescent="0.25">
      <c r="A181" s="216" t="s">
        <v>61</v>
      </c>
      <c r="B181" s="226" t="s">
        <v>516</v>
      </c>
      <c r="C181" s="530">
        <v>600</v>
      </c>
      <c r="D181" s="26">
        <f>D182</f>
        <v>27900.899999999998</v>
      </c>
      <c r="E181" s="26">
        <f t="shared" ref="E181:F181" si="70">E182</f>
        <v>27900.899999999998</v>
      </c>
      <c r="F181" s="26">
        <f t="shared" si="70"/>
        <v>27900.9</v>
      </c>
      <c r="G181" s="559">
        <f t="shared" si="53"/>
        <v>1.0000000000000002</v>
      </c>
      <c r="H181" s="68"/>
    </row>
    <row r="182" spans="1:8" x14ac:dyDescent="0.25">
      <c r="A182" s="216" t="s">
        <v>62</v>
      </c>
      <c r="B182" s="226" t="s">
        <v>516</v>
      </c>
      <c r="C182" s="530">
        <v>610</v>
      </c>
      <c r="D182" s="26">
        <f>'Функц. 2024-2026'!F673</f>
        <v>27900.899999999998</v>
      </c>
      <c r="E182" s="26">
        <f>'Функц. 2024-2026'!H673</f>
        <v>27900.899999999998</v>
      </c>
      <c r="F182" s="26">
        <f>'Функц. 2024-2026'!J673</f>
        <v>27900.9</v>
      </c>
      <c r="G182" s="559">
        <f t="shared" si="53"/>
        <v>1.0000000000000002</v>
      </c>
      <c r="H182" s="68"/>
    </row>
    <row r="183" spans="1:8" x14ac:dyDescent="0.25">
      <c r="A183" s="199" t="s">
        <v>381</v>
      </c>
      <c r="B183" s="226" t="s">
        <v>517</v>
      </c>
      <c r="C183" s="530"/>
      <c r="D183" s="26">
        <f>D184</f>
        <v>28143.799999999996</v>
      </c>
      <c r="E183" s="26">
        <f>E184</f>
        <v>28143.799999999996</v>
      </c>
      <c r="F183" s="26">
        <f>F184</f>
        <v>27704.699999999997</v>
      </c>
      <c r="G183" s="559">
        <f t="shared" si="53"/>
        <v>0.98439798463604777</v>
      </c>
      <c r="H183" s="68"/>
    </row>
    <row r="184" spans="1:8" ht="31.5" x14ac:dyDescent="0.25">
      <c r="A184" s="214" t="s">
        <v>278</v>
      </c>
      <c r="B184" s="226" t="s">
        <v>518</v>
      </c>
      <c r="C184" s="530"/>
      <c r="D184" s="26">
        <f>D185</f>
        <v>28143.799999999996</v>
      </c>
      <c r="E184" s="26">
        <f t="shared" ref="E184:F184" si="71">E185</f>
        <v>28143.799999999996</v>
      </c>
      <c r="F184" s="26">
        <f t="shared" si="71"/>
        <v>27704.699999999997</v>
      </c>
      <c r="G184" s="559">
        <f t="shared" si="53"/>
        <v>0.98439798463604777</v>
      </c>
      <c r="H184" s="68"/>
    </row>
    <row r="185" spans="1:8" x14ac:dyDescent="0.25">
      <c r="A185" s="215" t="s">
        <v>207</v>
      </c>
      <c r="B185" s="226" t="s">
        <v>519</v>
      </c>
      <c r="C185" s="530"/>
      <c r="D185" s="26">
        <f>D186+D191+D194</f>
        <v>28143.799999999996</v>
      </c>
      <c r="E185" s="26">
        <f>E186+E191+E194</f>
        <v>28143.799999999996</v>
      </c>
      <c r="F185" s="26">
        <f>F186+F191+F194</f>
        <v>27704.699999999997</v>
      </c>
      <c r="G185" s="559">
        <f t="shared" si="53"/>
        <v>0.98439798463604777</v>
      </c>
      <c r="H185" s="68"/>
    </row>
    <row r="186" spans="1:8" ht="31.5" x14ac:dyDescent="0.25">
      <c r="A186" s="216" t="s">
        <v>208</v>
      </c>
      <c r="B186" s="226" t="s">
        <v>520</v>
      </c>
      <c r="C186" s="530"/>
      <c r="D186" s="26">
        <f>D187+D189</f>
        <v>1435.8</v>
      </c>
      <c r="E186" s="26">
        <f>E187+E189</f>
        <v>1435.8</v>
      </c>
      <c r="F186" s="26">
        <f>F187+F189</f>
        <v>1338.4</v>
      </c>
      <c r="G186" s="559">
        <f t="shared" si="53"/>
        <v>0.93216325393508859</v>
      </c>
      <c r="H186" s="68"/>
    </row>
    <row r="187" spans="1:8" x14ac:dyDescent="0.25">
      <c r="A187" s="216" t="s">
        <v>121</v>
      </c>
      <c r="B187" s="226" t="s">
        <v>520</v>
      </c>
      <c r="C187" s="530">
        <v>200</v>
      </c>
      <c r="D187" s="26">
        <f>D188</f>
        <v>1435.7</v>
      </c>
      <c r="E187" s="26">
        <f>E188</f>
        <v>1435.7</v>
      </c>
      <c r="F187" s="26">
        <f>F188</f>
        <v>1338.4</v>
      </c>
      <c r="G187" s="559">
        <f t="shared" si="53"/>
        <v>0.93222818137493912</v>
      </c>
      <c r="H187" s="68"/>
    </row>
    <row r="188" spans="1:8" x14ac:dyDescent="0.25">
      <c r="A188" s="216" t="s">
        <v>52</v>
      </c>
      <c r="B188" s="226" t="s">
        <v>520</v>
      </c>
      <c r="C188" s="530">
        <v>240</v>
      </c>
      <c r="D188" s="26">
        <f>'Функц. 2024-2026'!F706</f>
        <v>1435.7</v>
      </c>
      <c r="E188" s="26">
        <f>'Функц. 2024-2026'!H706</f>
        <v>1435.7</v>
      </c>
      <c r="F188" s="26">
        <f>'Функц. 2024-2026'!J706</f>
        <v>1338.4</v>
      </c>
      <c r="G188" s="559">
        <f t="shared" si="53"/>
        <v>0.93222818137493912</v>
      </c>
      <c r="H188" s="68"/>
    </row>
    <row r="189" spans="1:8" x14ac:dyDescent="0.25">
      <c r="A189" s="268" t="s">
        <v>42</v>
      </c>
      <c r="B189" s="226" t="s">
        <v>520</v>
      </c>
      <c r="C189" s="530">
        <v>800</v>
      </c>
      <c r="D189" s="26">
        <f>D190</f>
        <v>0.1</v>
      </c>
      <c r="E189" s="26">
        <f>E190</f>
        <v>0.1</v>
      </c>
      <c r="F189" s="26">
        <f>F190</f>
        <v>0</v>
      </c>
      <c r="G189" s="559">
        <f t="shared" si="53"/>
        <v>0</v>
      </c>
      <c r="H189" s="68"/>
    </row>
    <row r="190" spans="1:8" x14ac:dyDescent="0.25">
      <c r="A190" s="268" t="s">
        <v>133</v>
      </c>
      <c r="B190" s="226" t="s">
        <v>520</v>
      </c>
      <c r="C190" s="530">
        <v>850</v>
      </c>
      <c r="D190" s="26">
        <f>'Функц. 2024-2026'!F708</f>
        <v>0.1</v>
      </c>
      <c r="E190" s="26">
        <f>'Функц. 2024-2026'!H708</f>
        <v>0.1</v>
      </c>
      <c r="F190" s="26">
        <f>'Функц. 2024-2026'!J708</f>
        <v>0</v>
      </c>
      <c r="G190" s="559">
        <f t="shared" si="53"/>
        <v>0</v>
      </c>
      <c r="H190" s="68"/>
    </row>
    <row r="191" spans="1:8" ht="31.5" x14ac:dyDescent="0.25">
      <c r="A191" s="216" t="s">
        <v>367</v>
      </c>
      <c r="B191" s="226" t="s">
        <v>521</v>
      </c>
      <c r="C191" s="530"/>
      <c r="D191" s="26">
        <f t="shared" ref="D191:F192" si="72">D192</f>
        <v>10674.9</v>
      </c>
      <c r="E191" s="26">
        <f t="shared" si="72"/>
        <v>10674.9</v>
      </c>
      <c r="F191" s="26">
        <f t="shared" si="72"/>
        <v>10501.5</v>
      </c>
      <c r="G191" s="559">
        <f t="shared" si="53"/>
        <v>0.98375628811511118</v>
      </c>
      <c r="H191" s="68"/>
    </row>
    <row r="192" spans="1:8" ht="47.25" x14ac:dyDescent="0.25">
      <c r="A192" s="216" t="s">
        <v>41</v>
      </c>
      <c r="B192" s="226" t="s">
        <v>521</v>
      </c>
      <c r="C192" s="530">
        <v>100</v>
      </c>
      <c r="D192" s="26">
        <f t="shared" si="72"/>
        <v>10674.9</v>
      </c>
      <c r="E192" s="26">
        <f t="shared" si="72"/>
        <v>10674.9</v>
      </c>
      <c r="F192" s="26">
        <f t="shared" si="72"/>
        <v>10501.5</v>
      </c>
      <c r="G192" s="559">
        <f t="shared" si="53"/>
        <v>0.98375628811511118</v>
      </c>
      <c r="H192" s="68"/>
    </row>
    <row r="193" spans="1:8" x14ac:dyDescent="0.25">
      <c r="A193" s="216" t="s">
        <v>97</v>
      </c>
      <c r="B193" s="226" t="s">
        <v>521</v>
      </c>
      <c r="C193" s="530">
        <v>120</v>
      </c>
      <c r="D193" s="26">
        <f>'Функц. 2024-2026'!F711</f>
        <v>10674.9</v>
      </c>
      <c r="E193" s="26">
        <f>'Функц. 2024-2026'!H711</f>
        <v>10674.9</v>
      </c>
      <c r="F193" s="26">
        <f>'Функц. 2024-2026'!J711</f>
        <v>10501.5</v>
      </c>
      <c r="G193" s="559">
        <f t="shared" si="53"/>
        <v>0.98375628811511118</v>
      </c>
      <c r="H193" s="68"/>
    </row>
    <row r="194" spans="1:8" ht="31.5" x14ac:dyDescent="0.25">
      <c r="A194" s="216" t="s">
        <v>279</v>
      </c>
      <c r="B194" s="226" t="s">
        <v>522</v>
      </c>
      <c r="C194" s="530"/>
      <c r="D194" s="26">
        <f t="shared" ref="D194:F195" si="73">D195</f>
        <v>16033.099999999999</v>
      </c>
      <c r="E194" s="26">
        <f t="shared" si="73"/>
        <v>16033.099999999999</v>
      </c>
      <c r="F194" s="26">
        <f t="shared" si="73"/>
        <v>15864.8</v>
      </c>
      <c r="G194" s="559">
        <f t="shared" si="53"/>
        <v>0.98950296573962615</v>
      </c>
      <c r="H194" s="68"/>
    </row>
    <row r="195" spans="1:8" ht="47.25" x14ac:dyDescent="0.25">
      <c r="A195" s="216" t="s">
        <v>41</v>
      </c>
      <c r="B195" s="226" t="s">
        <v>522</v>
      </c>
      <c r="C195" s="530">
        <v>100</v>
      </c>
      <c r="D195" s="26">
        <f t="shared" si="73"/>
        <v>16033.099999999999</v>
      </c>
      <c r="E195" s="26">
        <f t="shared" si="73"/>
        <v>16033.099999999999</v>
      </c>
      <c r="F195" s="26">
        <f t="shared" si="73"/>
        <v>15864.8</v>
      </c>
      <c r="G195" s="559">
        <f t="shared" si="53"/>
        <v>0.98950296573962615</v>
      </c>
      <c r="H195" s="68"/>
    </row>
    <row r="196" spans="1:8" x14ac:dyDescent="0.25">
      <c r="A196" s="216" t="s">
        <v>97</v>
      </c>
      <c r="B196" s="226" t="s">
        <v>522</v>
      </c>
      <c r="C196" s="530">
        <v>120</v>
      </c>
      <c r="D196" s="26">
        <f>'Функц. 2024-2026'!F714</f>
        <v>16033.099999999999</v>
      </c>
      <c r="E196" s="26">
        <f>'Функц. 2024-2026'!H714</f>
        <v>16033.099999999999</v>
      </c>
      <c r="F196" s="26">
        <f>'Функц. 2024-2026'!J714</f>
        <v>15864.8</v>
      </c>
      <c r="G196" s="559">
        <f t="shared" si="53"/>
        <v>0.98950296573962615</v>
      </c>
      <c r="H196" s="68"/>
    </row>
    <row r="197" spans="1:8" s="104" customFormat="1" x14ac:dyDescent="0.25">
      <c r="A197" s="291" t="s">
        <v>300</v>
      </c>
      <c r="B197" s="326" t="s">
        <v>110</v>
      </c>
      <c r="C197" s="540"/>
      <c r="D197" s="454">
        <f>D198+D203+D224+D217</f>
        <v>17130</v>
      </c>
      <c r="E197" s="454">
        <f t="shared" ref="E197:F197" si="74">E198+E203+E224+E217</f>
        <v>17130.199999999997</v>
      </c>
      <c r="F197" s="454">
        <f t="shared" si="74"/>
        <v>17061.7</v>
      </c>
      <c r="G197" s="558">
        <f t="shared" si="53"/>
        <v>0.99600121422983989</v>
      </c>
      <c r="H197" s="68"/>
    </row>
    <row r="198" spans="1:8" s="104" customFormat="1" x14ac:dyDescent="0.25">
      <c r="A198" s="217" t="s">
        <v>301</v>
      </c>
      <c r="B198" s="283" t="s">
        <v>119</v>
      </c>
      <c r="C198" s="541"/>
      <c r="D198" s="26">
        <f>D199</f>
        <v>7998</v>
      </c>
      <c r="E198" s="26">
        <f>E199</f>
        <v>7998.1999999999989</v>
      </c>
      <c r="F198" s="26">
        <f>F199</f>
        <v>7997.7000000000007</v>
      </c>
      <c r="G198" s="559">
        <f t="shared" si="53"/>
        <v>0.9999374859343354</v>
      </c>
      <c r="H198" s="68"/>
    </row>
    <row r="199" spans="1:8" s="104" customFormat="1" ht="31.5" x14ac:dyDescent="0.25">
      <c r="A199" s="217" t="s">
        <v>498</v>
      </c>
      <c r="B199" s="226" t="s">
        <v>497</v>
      </c>
      <c r="C199" s="542"/>
      <c r="D199" s="26">
        <f t="shared" ref="D199:F200" si="75">D200</f>
        <v>7998</v>
      </c>
      <c r="E199" s="26">
        <f t="shared" si="75"/>
        <v>7998.1999999999989</v>
      </c>
      <c r="F199" s="26">
        <f t="shared" si="75"/>
        <v>7997.7000000000007</v>
      </c>
      <c r="G199" s="559">
        <f t="shared" si="53"/>
        <v>0.9999374859343354</v>
      </c>
      <c r="H199" s="68"/>
    </row>
    <row r="200" spans="1:8" s="104" customFormat="1" ht="31.5" x14ac:dyDescent="0.25">
      <c r="A200" s="218" t="s">
        <v>303</v>
      </c>
      <c r="B200" s="226" t="s">
        <v>496</v>
      </c>
      <c r="C200" s="542"/>
      <c r="D200" s="26">
        <f t="shared" si="75"/>
        <v>7998</v>
      </c>
      <c r="E200" s="26">
        <f t="shared" si="75"/>
        <v>7998.1999999999989</v>
      </c>
      <c r="F200" s="26">
        <f t="shared" si="75"/>
        <v>7997.7000000000007</v>
      </c>
      <c r="G200" s="559">
        <f t="shared" si="53"/>
        <v>0.9999374859343354</v>
      </c>
      <c r="H200" s="68"/>
    </row>
    <row r="201" spans="1:8" s="104" customFormat="1" x14ac:dyDescent="0.25">
      <c r="A201" s="216" t="s">
        <v>98</v>
      </c>
      <c r="B201" s="226" t="s">
        <v>496</v>
      </c>
      <c r="C201" s="530">
        <v>300</v>
      </c>
      <c r="D201" s="26">
        <f>D202</f>
        <v>7998</v>
      </c>
      <c r="E201" s="26">
        <f>E202</f>
        <v>7998.1999999999989</v>
      </c>
      <c r="F201" s="26">
        <f>F202</f>
        <v>7997.7000000000007</v>
      </c>
      <c r="G201" s="559">
        <f t="shared" si="53"/>
        <v>0.9999374859343354</v>
      </c>
      <c r="H201" s="68"/>
    </row>
    <row r="202" spans="1:8" s="104" customFormat="1" x14ac:dyDescent="0.25">
      <c r="A202" s="216" t="s">
        <v>40</v>
      </c>
      <c r="B202" s="226" t="s">
        <v>496</v>
      </c>
      <c r="C202" s="530">
        <v>320</v>
      </c>
      <c r="D202" s="26">
        <f>'Функц. 2024-2026'!F818</f>
        <v>7998</v>
      </c>
      <c r="E202" s="26">
        <f>'Функц. 2024-2026'!H818</f>
        <v>7998.1999999999989</v>
      </c>
      <c r="F202" s="26">
        <f>'Функц. 2024-2026'!J818</f>
        <v>7997.7000000000007</v>
      </c>
      <c r="G202" s="559">
        <f t="shared" si="53"/>
        <v>0.9999374859343354</v>
      </c>
      <c r="H202" s="68"/>
    </row>
    <row r="203" spans="1:8" x14ac:dyDescent="0.25">
      <c r="A203" s="217" t="s">
        <v>304</v>
      </c>
      <c r="B203" s="226" t="s">
        <v>111</v>
      </c>
      <c r="C203" s="530"/>
      <c r="D203" s="26">
        <f t="shared" ref="D203:F204" si="76">D204</f>
        <v>5794</v>
      </c>
      <c r="E203" s="26">
        <f t="shared" si="76"/>
        <v>5794</v>
      </c>
      <c r="F203" s="26">
        <f t="shared" si="76"/>
        <v>5726</v>
      </c>
      <c r="G203" s="559">
        <f t="shared" ref="G203:G266" si="77">F203/E203</f>
        <v>0.98826372109078353</v>
      </c>
      <c r="H203" s="68"/>
    </row>
    <row r="204" spans="1:8" x14ac:dyDescent="0.25">
      <c r="A204" s="218" t="s">
        <v>539</v>
      </c>
      <c r="B204" s="226" t="s">
        <v>538</v>
      </c>
      <c r="C204" s="530"/>
      <c r="D204" s="26">
        <f>D205</f>
        <v>5794</v>
      </c>
      <c r="E204" s="26">
        <f t="shared" si="76"/>
        <v>5794</v>
      </c>
      <c r="F204" s="26">
        <f t="shared" si="76"/>
        <v>5726</v>
      </c>
      <c r="G204" s="559">
        <f t="shared" si="77"/>
        <v>0.98826372109078353</v>
      </c>
      <c r="H204" s="68"/>
    </row>
    <row r="205" spans="1:8" x14ac:dyDescent="0.25">
      <c r="A205" s="218" t="s">
        <v>305</v>
      </c>
      <c r="B205" s="226" t="s">
        <v>540</v>
      </c>
      <c r="C205" s="530"/>
      <c r="D205" s="26">
        <f>D206+D214</f>
        <v>5794</v>
      </c>
      <c r="E205" s="26">
        <f>E206+E214</f>
        <v>5794</v>
      </c>
      <c r="F205" s="26">
        <f>F206+F214</f>
        <v>5726</v>
      </c>
      <c r="G205" s="559">
        <f t="shared" si="77"/>
        <v>0.98826372109078353</v>
      </c>
      <c r="H205" s="68"/>
    </row>
    <row r="206" spans="1:8" ht="47.25" x14ac:dyDescent="0.25">
      <c r="A206" s="218" t="s">
        <v>326</v>
      </c>
      <c r="B206" s="226" t="s">
        <v>541</v>
      </c>
      <c r="C206" s="530"/>
      <c r="D206" s="26">
        <f>D209+D207+D211</f>
        <v>4185.8999999999996</v>
      </c>
      <c r="E206" s="26">
        <f>E209+E207+E211</f>
        <v>4185.8999999999996</v>
      </c>
      <c r="F206" s="26">
        <f>F209+F207+F211</f>
        <v>4117.8999999999996</v>
      </c>
      <c r="G206" s="559">
        <f t="shared" si="77"/>
        <v>0.98375498698009989</v>
      </c>
      <c r="H206" s="68"/>
    </row>
    <row r="207" spans="1:8" x14ac:dyDescent="0.25">
      <c r="A207" s="216" t="s">
        <v>121</v>
      </c>
      <c r="B207" s="226" t="s">
        <v>541</v>
      </c>
      <c r="C207" s="530">
        <v>200</v>
      </c>
      <c r="D207" s="26">
        <f>D208</f>
        <v>2087.5</v>
      </c>
      <c r="E207" s="26">
        <f>E208</f>
        <v>2087.5</v>
      </c>
      <c r="F207" s="26">
        <f>F208</f>
        <v>2087.5</v>
      </c>
      <c r="G207" s="559">
        <f t="shared" si="77"/>
        <v>1</v>
      </c>
      <c r="H207" s="68"/>
    </row>
    <row r="208" spans="1:8" x14ac:dyDescent="0.25">
      <c r="A208" s="216" t="s">
        <v>52</v>
      </c>
      <c r="B208" s="226" t="s">
        <v>541</v>
      </c>
      <c r="C208" s="530">
        <v>240</v>
      </c>
      <c r="D208" s="26">
        <f>'Функц. 2024-2026'!F721</f>
        <v>2087.5</v>
      </c>
      <c r="E208" s="26">
        <f>'Функц. 2024-2026'!H721</f>
        <v>2087.5</v>
      </c>
      <c r="F208" s="26">
        <f>'Функц. 2024-2026'!J721</f>
        <v>2087.5</v>
      </c>
      <c r="G208" s="559">
        <f t="shared" si="77"/>
        <v>1</v>
      </c>
      <c r="H208" s="68"/>
    </row>
    <row r="209" spans="1:8" x14ac:dyDescent="0.25">
      <c r="A209" s="216" t="s">
        <v>98</v>
      </c>
      <c r="B209" s="226" t="s">
        <v>541</v>
      </c>
      <c r="C209" s="530">
        <v>300</v>
      </c>
      <c r="D209" s="26">
        <f>D210</f>
        <v>138.70000000000002</v>
      </c>
      <c r="E209" s="26">
        <f>E210</f>
        <v>138.70000000000002</v>
      </c>
      <c r="F209" s="26">
        <f>F210</f>
        <v>138.70000000000002</v>
      </c>
      <c r="G209" s="559">
        <f t="shared" si="77"/>
        <v>1</v>
      </c>
      <c r="H209" s="68"/>
    </row>
    <row r="210" spans="1:8" x14ac:dyDescent="0.25">
      <c r="A210" s="216" t="s">
        <v>40</v>
      </c>
      <c r="B210" s="226" t="s">
        <v>541</v>
      </c>
      <c r="C210" s="530">
        <v>320</v>
      </c>
      <c r="D210" s="26">
        <f>'Функц. 2024-2026'!F723</f>
        <v>138.70000000000002</v>
      </c>
      <c r="E210" s="26">
        <f>'Функц. 2024-2026'!H723</f>
        <v>138.70000000000002</v>
      </c>
      <c r="F210" s="26">
        <f>'Функц. 2024-2026'!J723</f>
        <v>138.70000000000002</v>
      </c>
      <c r="G210" s="559">
        <f t="shared" si="77"/>
        <v>1</v>
      </c>
      <c r="H210" s="68"/>
    </row>
    <row r="211" spans="1:8" ht="31.5" x14ac:dyDescent="0.25">
      <c r="A211" s="216" t="s">
        <v>61</v>
      </c>
      <c r="B211" s="226" t="s">
        <v>541</v>
      </c>
      <c r="C211" s="530">
        <v>600</v>
      </c>
      <c r="D211" s="26">
        <f>D212+D213</f>
        <v>1959.7000000000003</v>
      </c>
      <c r="E211" s="26">
        <f t="shared" ref="E211" si="78">E212+E213</f>
        <v>1959.7000000000003</v>
      </c>
      <c r="F211" s="26">
        <f t="shared" ref="F211" si="79">F212+F213</f>
        <v>1891.7000000000003</v>
      </c>
      <c r="G211" s="559">
        <f t="shared" si="77"/>
        <v>0.96530081134867585</v>
      </c>
      <c r="H211" s="68"/>
    </row>
    <row r="212" spans="1:8" x14ac:dyDescent="0.25">
      <c r="A212" s="216" t="s">
        <v>62</v>
      </c>
      <c r="B212" s="226" t="s">
        <v>541</v>
      </c>
      <c r="C212" s="530">
        <v>610</v>
      </c>
      <c r="D212" s="26">
        <f>'Функц. 2024-2026'!F725</f>
        <v>1951.8000000000002</v>
      </c>
      <c r="E212" s="26">
        <f>'Функц. 2024-2026'!H725</f>
        <v>1951.8000000000002</v>
      </c>
      <c r="F212" s="26">
        <f>'Функц. 2024-2026'!J725</f>
        <v>1883.8000000000002</v>
      </c>
      <c r="G212" s="559">
        <f t="shared" si="77"/>
        <v>0.96516036479147449</v>
      </c>
      <c r="H212" s="68"/>
    </row>
    <row r="213" spans="1:8" x14ac:dyDescent="0.25">
      <c r="A213" s="366" t="s">
        <v>130</v>
      </c>
      <c r="B213" s="226" t="s">
        <v>541</v>
      </c>
      <c r="C213" s="530">
        <v>620</v>
      </c>
      <c r="D213" s="26">
        <f>'Функц. 2024-2026'!F726</f>
        <v>7.9</v>
      </c>
      <c r="E213" s="26">
        <f>'Функц. 2024-2026'!H726</f>
        <v>7.9</v>
      </c>
      <c r="F213" s="26">
        <f>'Функц. 2024-2026'!J726</f>
        <v>7.9</v>
      </c>
      <c r="G213" s="559">
        <f t="shared" si="77"/>
        <v>1</v>
      </c>
      <c r="H213" s="68"/>
    </row>
    <row r="214" spans="1:8" ht="31.5" x14ac:dyDescent="0.25">
      <c r="A214" s="216" t="s">
        <v>555</v>
      </c>
      <c r="B214" s="226" t="s">
        <v>542</v>
      </c>
      <c r="C214" s="530"/>
      <c r="D214" s="26">
        <f t="shared" ref="D214:F215" si="80">D215</f>
        <v>1608.1</v>
      </c>
      <c r="E214" s="26">
        <f t="shared" si="80"/>
        <v>1608.1</v>
      </c>
      <c r="F214" s="26">
        <f t="shared" si="80"/>
        <v>1608.1</v>
      </c>
      <c r="G214" s="559">
        <f t="shared" si="77"/>
        <v>1</v>
      </c>
      <c r="H214" s="68"/>
    </row>
    <row r="215" spans="1:8" ht="31.5" x14ac:dyDescent="0.25">
      <c r="A215" s="216" t="s">
        <v>61</v>
      </c>
      <c r="B215" s="226" t="s">
        <v>542</v>
      </c>
      <c r="C215" s="458">
        <v>600</v>
      </c>
      <c r="D215" s="26">
        <f t="shared" si="80"/>
        <v>1608.1</v>
      </c>
      <c r="E215" s="26">
        <f t="shared" si="80"/>
        <v>1608.1</v>
      </c>
      <c r="F215" s="26">
        <f t="shared" si="80"/>
        <v>1608.1</v>
      </c>
      <c r="G215" s="559">
        <f t="shared" si="77"/>
        <v>1</v>
      </c>
      <c r="H215" s="68"/>
    </row>
    <row r="216" spans="1:8" x14ac:dyDescent="0.25">
      <c r="A216" s="216" t="s">
        <v>62</v>
      </c>
      <c r="B216" s="226" t="s">
        <v>542</v>
      </c>
      <c r="C216" s="458">
        <v>610</v>
      </c>
      <c r="D216" s="26">
        <f>'Функц. 2024-2026'!F729</f>
        <v>1608.1</v>
      </c>
      <c r="E216" s="26">
        <f>'Функц. 2024-2026'!H729</f>
        <v>1608.1</v>
      </c>
      <c r="F216" s="26">
        <f>'Функц. 2024-2026'!J729</f>
        <v>1608.1</v>
      </c>
      <c r="G216" s="559">
        <f t="shared" si="77"/>
        <v>1</v>
      </c>
      <c r="H216" s="68"/>
    </row>
    <row r="217" spans="1:8" s="104" customFormat="1" x14ac:dyDescent="0.25">
      <c r="A217" s="199" t="s">
        <v>47</v>
      </c>
      <c r="B217" s="233" t="s">
        <v>427</v>
      </c>
      <c r="C217" s="530"/>
      <c r="D217" s="26">
        <f t="shared" ref="D217:F218" si="81">D218</f>
        <v>3198</v>
      </c>
      <c r="E217" s="26">
        <f t="shared" si="81"/>
        <v>3198</v>
      </c>
      <c r="F217" s="26">
        <f t="shared" si="81"/>
        <v>3198</v>
      </c>
      <c r="G217" s="559">
        <f t="shared" si="77"/>
        <v>1</v>
      </c>
      <c r="H217" s="68"/>
    </row>
    <row r="218" spans="1:8" s="104" customFormat="1" ht="47.25" x14ac:dyDescent="0.25">
      <c r="A218" s="199" t="s">
        <v>557</v>
      </c>
      <c r="B218" s="233" t="s">
        <v>556</v>
      </c>
      <c r="C218" s="530"/>
      <c r="D218" s="26">
        <f t="shared" si="81"/>
        <v>3198</v>
      </c>
      <c r="E218" s="26">
        <f t="shared" si="81"/>
        <v>3198</v>
      </c>
      <c r="F218" s="26">
        <f t="shared" si="81"/>
        <v>3198</v>
      </c>
      <c r="G218" s="559">
        <f t="shared" si="77"/>
        <v>1</v>
      </c>
      <c r="H218" s="68"/>
    </row>
    <row r="219" spans="1:8" s="104" customFormat="1" ht="47.25" x14ac:dyDescent="0.25">
      <c r="A219" s="268" t="s">
        <v>376</v>
      </c>
      <c r="B219" s="233" t="s">
        <v>558</v>
      </c>
      <c r="C219" s="530"/>
      <c r="D219" s="26">
        <f>D220+D222</f>
        <v>3198</v>
      </c>
      <c r="E219" s="26">
        <f>E220+E222</f>
        <v>3198</v>
      </c>
      <c r="F219" s="26">
        <f>F220+F222</f>
        <v>3198</v>
      </c>
      <c r="G219" s="559">
        <f t="shared" si="77"/>
        <v>1</v>
      </c>
      <c r="H219" s="68"/>
    </row>
    <row r="220" spans="1:8" s="104" customFormat="1" ht="47.25" x14ac:dyDescent="0.25">
      <c r="A220" s="268" t="s">
        <v>41</v>
      </c>
      <c r="B220" s="233" t="s">
        <v>558</v>
      </c>
      <c r="C220" s="458">
        <v>100</v>
      </c>
      <c r="D220" s="26">
        <f>D221</f>
        <v>3150.9</v>
      </c>
      <c r="E220" s="26">
        <f>'Функц. 2024-2026'!I49</f>
        <v>3150.9</v>
      </c>
      <c r="F220" s="26">
        <f>'Функц. 2024-2026'!J49</f>
        <v>3150.9</v>
      </c>
      <c r="G220" s="559">
        <f t="shared" si="77"/>
        <v>1</v>
      </c>
      <c r="H220" s="68"/>
    </row>
    <row r="221" spans="1:8" s="104" customFormat="1" x14ac:dyDescent="0.25">
      <c r="A221" s="268" t="s">
        <v>97</v>
      </c>
      <c r="B221" s="233" t="s">
        <v>558</v>
      </c>
      <c r="C221" s="530">
        <v>120</v>
      </c>
      <c r="D221" s="26">
        <f>'Функц. 2024-2026'!F49</f>
        <v>3150.9</v>
      </c>
      <c r="E221" s="26">
        <f>'Функц. 2024-2026'!H49</f>
        <v>3150.9</v>
      </c>
      <c r="F221" s="26">
        <f>'Функц. 2024-2026'!J49</f>
        <v>3150.9</v>
      </c>
      <c r="G221" s="559">
        <f t="shared" si="77"/>
        <v>1</v>
      </c>
      <c r="H221" s="68"/>
    </row>
    <row r="222" spans="1:8" s="104" customFormat="1" x14ac:dyDescent="0.25">
      <c r="A222" s="268" t="s">
        <v>121</v>
      </c>
      <c r="B222" s="233" t="s">
        <v>558</v>
      </c>
      <c r="C222" s="530">
        <v>200</v>
      </c>
      <c r="D222" s="26">
        <f>D223</f>
        <v>47.099999999999994</v>
      </c>
      <c r="E222" s="26">
        <f>E223</f>
        <v>47.099999999999994</v>
      </c>
      <c r="F222" s="26">
        <f>F223</f>
        <v>47.1</v>
      </c>
      <c r="G222" s="559">
        <f t="shared" si="77"/>
        <v>1.0000000000000002</v>
      </c>
      <c r="H222" s="68"/>
    </row>
    <row r="223" spans="1:8" s="104" customFormat="1" x14ac:dyDescent="0.25">
      <c r="A223" s="268" t="s">
        <v>52</v>
      </c>
      <c r="B223" s="233" t="s">
        <v>558</v>
      </c>
      <c r="C223" s="530">
        <v>240</v>
      </c>
      <c r="D223" s="26">
        <f>'Функц. 2024-2026'!F51</f>
        <v>47.099999999999994</v>
      </c>
      <c r="E223" s="26">
        <f>'Функц. 2024-2026'!H51</f>
        <v>47.099999999999994</v>
      </c>
      <c r="F223" s="26">
        <f>'Функц. 2024-2026'!J51</f>
        <v>47.1</v>
      </c>
      <c r="G223" s="559">
        <f t="shared" si="77"/>
        <v>1.0000000000000002</v>
      </c>
      <c r="H223" s="68"/>
    </row>
    <row r="224" spans="1:8" ht="31.5" x14ac:dyDescent="0.25">
      <c r="A224" s="202" t="s">
        <v>362</v>
      </c>
      <c r="B224" s="226" t="s">
        <v>559</v>
      </c>
      <c r="C224" s="458"/>
      <c r="D224" s="26">
        <f>D225</f>
        <v>140</v>
      </c>
      <c r="E224" s="26">
        <f>E225</f>
        <v>140</v>
      </c>
      <c r="F224" s="26">
        <f>F225</f>
        <v>140</v>
      </c>
      <c r="G224" s="559">
        <f t="shared" si="77"/>
        <v>1</v>
      </c>
      <c r="H224" s="68"/>
    </row>
    <row r="225" spans="1:8" x14ac:dyDescent="0.25">
      <c r="A225" s="218" t="s">
        <v>561</v>
      </c>
      <c r="B225" s="226" t="s">
        <v>560</v>
      </c>
      <c r="C225" s="458"/>
      <c r="D225" s="26">
        <f>D229+D226</f>
        <v>140</v>
      </c>
      <c r="E225" s="26">
        <f>E229+E226</f>
        <v>140</v>
      </c>
      <c r="F225" s="26">
        <f>F229+F226</f>
        <v>140</v>
      </c>
      <c r="G225" s="559">
        <f t="shared" si="77"/>
        <v>1</v>
      </c>
      <c r="H225" s="68"/>
    </row>
    <row r="226" spans="1:8" x14ac:dyDescent="0.25">
      <c r="A226" s="200" t="s">
        <v>642</v>
      </c>
      <c r="B226" s="226" t="s">
        <v>643</v>
      </c>
      <c r="C226" s="458"/>
      <c r="D226" s="26">
        <f t="shared" ref="D226:F227" si="82">D227</f>
        <v>70</v>
      </c>
      <c r="E226" s="26">
        <f t="shared" si="82"/>
        <v>70</v>
      </c>
      <c r="F226" s="26">
        <f t="shared" si="82"/>
        <v>70</v>
      </c>
      <c r="G226" s="559">
        <f t="shared" si="77"/>
        <v>1</v>
      </c>
      <c r="H226" s="68"/>
    </row>
    <row r="227" spans="1:8" ht="31.5" x14ac:dyDescent="0.25">
      <c r="A227" s="268" t="s">
        <v>61</v>
      </c>
      <c r="B227" s="226" t="s">
        <v>643</v>
      </c>
      <c r="C227" s="458">
        <v>600</v>
      </c>
      <c r="D227" s="26">
        <f t="shared" si="82"/>
        <v>70</v>
      </c>
      <c r="E227" s="26">
        <f t="shared" si="82"/>
        <v>70</v>
      </c>
      <c r="F227" s="26">
        <f t="shared" si="82"/>
        <v>70</v>
      </c>
      <c r="G227" s="559">
        <f t="shared" si="77"/>
        <v>1</v>
      </c>
      <c r="H227" s="68"/>
    </row>
    <row r="228" spans="1:8" ht="31.5" x14ac:dyDescent="0.25">
      <c r="A228" s="281" t="s">
        <v>434</v>
      </c>
      <c r="B228" s="226" t="s">
        <v>643</v>
      </c>
      <c r="C228" s="458">
        <v>630</v>
      </c>
      <c r="D228" s="26">
        <f>'Функц. 2024-2026'!F858</f>
        <v>70</v>
      </c>
      <c r="E228" s="26">
        <v>70</v>
      </c>
      <c r="F228" s="26">
        <v>70</v>
      </c>
      <c r="G228" s="559">
        <f t="shared" si="77"/>
        <v>1</v>
      </c>
      <c r="H228" s="68"/>
    </row>
    <row r="229" spans="1:8" ht="31.5" x14ac:dyDescent="0.25">
      <c r="A229" s="200" t="s">
        <v>614</v>
      </c>
      <c r="B229" s="226" t="s">
        <v>615</v>
      </c>
      <c r="C229" s="458"/>
      <c r="D229" s="26">
        <f t="shared" ref="D229:F230" si="83">D230</f>
        <v>70</v>
      </c>
      <c r="E229" s="26">
        <f>'Функц. 2024-2026'!H858</f>
        <v>70</v>
      </c>
      <c r="F229" s="26">
        <f>'Функц. 2024-2026'!J858</f>
        <v>70</v>
      </c>
      <c r="G229" s="559">
        <f t="shared" si="77"/>
        <v>1</v>
      </c>
      <c r="H229" s="68"/>
    </row>
    <row r="230" spans="1:8" ht="31.5" x14ac:dyDescent="0.25">
      <c r="A230" s="268" t="s">
        <v>61</v>
      </c>
      <c r="B230" s="226" t="s">
        <v>615</v>
      </c>
      <c r="C230" s="458">
        <v>600</v>
      </c>
      <c r="D230" s="26">
        <f t="shared" si="83"/>
        <v>70</v>
      </c>
      <c r="E230" s="26">
        <f t="shared" si="83"/>
        <v>70</v>
      </c>
      <c r="F230" s="26">
        <f t="shared" si="83"/>
        <v>70</v>
      </c>
      <c r="G230" s="559">
        <f t="shared" si="77"/>
        <v>1</v>
      </c>
      <c r="H230" s="68"/>
    </row>
    <row r="231" spans="1:8" ht="31.5" x14ac:dyDescent="0.25">
      <c r="A231" s="301" t="s">
        <v>434</v>
      </c>
      <c r="B231" s="226" t="s">
        <v>615</v>
      </c>
      <c r="C231" s="458">
        <v>630</v>
      </c>
      <c r="D231" s="26">
        <f>'Функц. 2024-2026'!F861</f>
        <v>70</v>
      </c>
      <c r="E231" s="26">
        <f>'Функц. 2024-2026'!H861</f>
        <v>70</v>
      </c>
      <c r="F231" s="26">
        <f>'Функц. 2024-2026'!J861</f>
        <v>70</v>
      </c>
      <c r="G231" s="559">
        <f t="shared" si="77"/>
        <v>1</v>
      </c>
      <c r="H231" s="68"/>
    </row>
    <row r="232" spans="1:8" s="104" customFormat="1" x14ac:dyDescent="0.25">
      <c r="A232" s="292" t="s">
        <v>158</v>
      </c>
      <c r="B232" s="323" t="s">
        <v>116</v>
      </c>
      <c r="C232" s="534"/>
      <c r="D232" s="454">
        <f>D233+D241</f>
        <v>119813.4</v>
      </c>
      <c r="E232" s="454">
        <f>E233+E241</f>
        <v>119813.4</v>
      </c>
      <c r="F232" s="454">
        <f>F233+F241</f>
        <v>119639.2</v>
      </c>
      <c r="G232" s="558">
        <f t="shared" si="77"/>
        <v>0.99854607247603355</v>
      </c>
      <c r="H232" s="68"/>
    </row>
    <row r="233" spans="1:8" s="104" customFormat="1" x14ac:dyDescent="0.25">
      <c r="A233" s="214" t="s">
        <v>159</v>
      </c>
      <c r="B233" s="226" t="s">
        <v>120</v>
      </c>
      <c r="C233" s="534"/>
      <c r="D233" s="26">
        <f t="shared" ref="D233:F234" si="84">D234</f>
        <v>3751.7000000000003</v>
      </c>
      <c r="E233" s="26">
        <f t="shared" si="84"/>
        <v>3751.7000000000003</v>
      </c>
      <c r="F233" s="26">
        <f t="shared" si="84"/>
        <v>3577.5</v>
      </c>
      <c r="G233" s="559">
        <f t="shared" si="77"/>
        <v>0.95356771596876078</v>
      </c>
      <c r="H233" s="68"/>
    </row>
    <row r="234" spans="1:8" s="104" customFormat="1" ht="31.5" x14ac:dyDescent="0.25">
      <c r="A234" s="214" t="s">
        <v>160</v>
      </c>
      <c r="B234" s="226" t="s">
        <v>129</v>
      </c>
      <c r="C234" s="534"/>
      <c r="D234" s="26">
        <f t="shared" si="84"/>
        <v>3751.7000000000003</v>
      </c>
      <c r="E234" s="26">
        <f t="shared" si="84"/>
        <v>3751.7000000000003</v>
      </c>
      <c r="F234" s="26">
        <f t="shared" si="84"/>
        <v>3577.5</v>
      </c>
      <c r="G234" s="559">
        <f t="shared" si="77"/>
        <v>0.95356771596876078</v>
      </c>
      <c r="H234" s="68"/>
    </row>
    <row r="235" spans="1:8" s="104" customFormat="1" ht="31.5" x14ac:dyDescent="0.25">
      <c r="A235" s="200" t="s">
        <v>562</v>
      </c>
      <c r="B235" s="226" t="s">
        <v>162</v>
      </c>
      <c r="C235" s="534"/>
      <c r="D235" s="26">
        <f>D236+D238</f>
        <v>3751.7000000000003</v>
      </c>
      <c r="E235" s="26">
        <f>E236+E238</f>
        <v>3751.7000000000003</v>
      </c>
      <c r="F235" s="26">
        <f>F236+F238</f>
        <v>3577.5</v>
      </c>
      <c r="G235" s="559">
        <f t="shared" si="77"/>
        <v>0.95356771596876078</v>
      </c>
      <c r="H235" s="68"/>
    </row>
    <row r="236" spans="1:8" s="104" customFormat="1" x14ac:dyDescent="0.25">
      <c r="A236" s="288" t="s">
        <v>121</v>
      </c>
      <c r="B236" s="226" t="s">
        <v>162</v>
      </c>
      <c r="C236" s="543">
        <v>200</v>
      </c>
      <c r="D236" s="26">
        <f>D237</f>
        <v>2786.7000000000003</v>
      </c>
      <c r="E236" s="26">
        <f>E237</f>
        <v>2786.7000000000003</v>
      </c>
      <c r="F236" s="26">
        <f>F237</f>
        <v>2612.5</v>
      </c>
      <c r="G236" s="559">
        <f t="shared" si="77"/>
        <v>0.93748878601930585</v>
      </c>
      <c r="H236" s="68"/>
    </row>
    <row r="237" spans="1:8" s="104" customFormat="1" x14ac:dyDescent="0.25">
      <c r="A237" s="288" t="s">
        <v>52</v>
      </c>
      <c r="B237" s="226" t="s">
        <v>162</v>
      </c>
      <c r="C237" s="543">
        <v>240</v>
      </c>
      <c r="D237" s="26">
        <f>'Функц. 2024-2026'!F869</f>
        <v>2786.7000000000003</v>
      </c>
      <c r="E237" s="26">
        <f>'Функц. 2024-2026'!H869</f>
        <v>2786.7000000000003</v>
      </c>
      <c r="F237" s="26">
        <f>'Функц. 2024-2026'!J869</f>
        <v>2612.5</v>
      </c>
      <c r="G237" s="559">
        <f t="shared" si="77"/>
        <v>0.93748878601930585</v>
      </c>
      <c r="H237" s="68"/>
    </row>
    <row r="238" spans="1:8" s="104" customFormat="1" ht="31.5" x14ac:dyDescent="0.25">
      <c r="A238" s="197" t="s">
        <v>61</v>
      </c>
      <c r="B238" s="226" t="s">
        <v>162</v>
      </c>
      <c r="C238" s="543">
        <v>600</v>
      </c>
      <c r="D238" s="26">
        <f>D239+D240</f>
        <v>965</v>
      </c>
      <c r="E238" s="26">
        <f>E239+E240</f>
        <v>965</v>
      </c>
      <c r="F238" s="26">
        <f>F239+F240</f>
        <v>965</v>
      </c>
      <c r="G238" s="559">
        <f t="shared" si="77"/>
        <v>1</v>
      </c>
      <c r="H238" s="68"/>
    </row>
    <row r="239" spans="1:8" s="104" customFormat="1" x14ac:dyDescent="0.25">
      <c r="A239" s="216" t="s">
        <v>62</v>
      </c>
      <c r="B239" s="226" t="s">
        <v>162</v>
      </c>
      <c r="C239" s="543">
        <v>610</v>
      </c>
      <c r="D239" s="26">
        <f>'Функц. 2024-2026'!F871</f>
        <v>450</v>
      </c>
      <c r="E239" s="26">
        <f>'Функц. 2024-2026'!H871</f>
        <v>450</v>
      </c>
      <c r="F239" s="26">
        <f>'Функц. 2024-2026'!J871</f>
        <v>450</v>
      </c>
      <c r="G239" s="559">
        <f t="shared" si="77"/>
        <v>1</v>
      </c>
      <c r="H239" s="68"/>
    </row>
    <row r="240" spans="1:8" s="104" customFormat="1" x14ac:dyDescent="0.25">
      <c r="A240" s="216" t="s">
        <v>130</v>
      </c>
      <c r="B240" s="226" t="s">
        <v>162</v>
      </c>
      <c r="C240" s="543">
        <v>620</v>
      </c>
      <c r="D240" s="26">
        <f>'Функц. 2024-2026'!F872</f>
        <v>515</v>
      </c>
      <c r="E240" s="26">
        <f>'Функц. 2024-2026'!H872</f>
        <v>515</v>
      </c>
      <c r="F240" s="26">
        <f>'Функц. 2024-2026'!J872</f>
        <v>515</v>
      </c>
      <c r="G240" s="559">
        <f t="shared" si="77"/>
        <v>1</v>
      </c>
      <c r="H240" s="68"/>
    </row>
    <row r="241" spans="1:8" s="104" customFormat="1" x14ac:dyDescent="0.25">
      <c r="A241" s="216" t="s">
        <v>648</v>
      </c>
      <c r="B241" s="226" t="s">
        <v>649</v>
      </c>
      <c r="C241" s="543"/>
      <c r="D241" s="26">
        <f>D242+D246</f>
        <v>116061.7</v>
      </c>
      <c r="E241" s="26">
        <f t="shared" ref="E241" si="85">E242+E246</f>
        <v>116061.7</v>
      </c>
      <c r="F241" s="26">
        <f t="shared" ref="F241" si="86">F242+F246</f>
        <v>116061.7</v>
      </c>
      <c r="G241" s="559">
        <f t="shared" si="77"/>
        <v>1</v>
      </c>
      <c r="H241" s="68"/>
    </row>
    <row r="242" spans="1:8" s="104" customFormat="1" x14ac:dyDescent="0.25">
      <c r="A242" s="216" t="s">
        <v>651</v>
      </c>
      <c r="B242" s="226" t="s">
        <v>650</v>
      </c>
      <c r="C242" s="543"/>
      <c r="D242" s="26">
        <f t="shared" ref="D242:F244" si="87">D243</f>
        <v>114203.7</v>
      </c>
      <c r="E242" s="26">
        <f t="shared" si="87"/>
        <v>114203.7</v>
      </c>
      <c r="F242" s="26">
        <f t="shared" si="87"/>
        <v>114203.7</v>
      </c>
      <c r="G242" s="559">
        <f t="shared" si="77"/>
        <v>1</v>
      </c>
      <c r="H242" s="68"/>
    </row>
    <row r="243" spans="1:8" s="104" customFormat="1" ht="31.5" x14ac:dyDescent="0.25">
      <c r="A243" s="216" t="s">
        <v>653</v>
      </c>
      <c r="B243" s="226" t="s">
        <v>652</v>
      </c>
      <c r="C243" s="543"/>
      <c r="D243" s="26">
        <f t="shared" si="87"/>
        <v>114203.7</v>
      </c>
      <c r="E243" s="26">
        <f t="shared" si="87"/>
        <v>114203.7</v>
      </c>
      <c r="F243" s="26">
        <f t="shared" si="87"/>
        <v>114203.7</v>
      </c>
      <c r="G243" s="559">
        <f t="shared" si="77"/>
        <v>1</v>
      </c>
      <c r="H243" s="68"/>
    </row>
    <row r="244" spans="1:8" s="104" customFormat="1" ht="31.5" x14ac:dyDescent="0.25">
      <c r="A244" s="197" t="s">
        <v>61</v>
      </c>
      <c r="B244" s="226" t="s">
        <v>652</v>
      </c>
      <c r="C244" s="543">
        <v>600</v>
      </c>
      <c r="D244" s="26">
        <f t="shared" si="87"/>
        <v>114203.7</v>
      </c>
      <c r="E244" s="26">
        <f t="shared" si="87"/>
        <v>114203.7</v>
      </c>
      <c r="F244" s="26">
        <f t="shared" si="87"/>
        <v>114203.7</v>
      </c>
      <c r="G244" s="559">
        <f t="shared" si="77"/>
        <v>1</v>
      </c>
      <c r="H244" s="68"/>
    </row>
    <row r="245" spans="1:8" s="104" customFormat="1" x14ac:dyDescent="0.25">
      <c r="A245" s="216" t="s">
        <v>130</v>
      </c>
      <c r="B245" s="226" t="s">
        <v>652</v>
      </c>
      <c r="C245" s="543">
        <v>620</v>
      </c>
      <c r="D245" s="26">
        <f>'Функц. 2024-2026'!F879</f>
        <v>114203.7</v>
      </c>
      <c r="E245" s="26">
        <f>'Функц. 2024-2026'!H879</f>
        <v>114203.7</v>
      </c>
      <c r="F245" s="26">
        <f>'Функц. 2024-2026'!J879</f>
        <v>114203.7</v>
      </c>
      <c r="G245" s="559">
        <f t="shared" si="77"/>
        <v>1</v>
      </c>
      <c r="H245" s="68"/>
    </row>
    <row r="246" spans="1:8" s="104" customFormat="1" ht="31.5" x14ac:dyDescent="0.25">
      <c r="A246" s="366" t="s">
        <v>811</v>
      </c>
      <c r="B246" s="355" t="s">
        <v>812</v>
      </c>
      <c r="C246" s="544"/>
      <c r="D246" s="26">
        <f>D247</f>
        <v>1858</v>
      </c>
      <c r="E246" s="26">
        <f t="shared" ref="E246:F248" si="88">E247</f>
        <v>1858</v>
      </c>
      <c r="F246" s="26">
        <f t="shared" si="88"/>
        <v>1858</v>
      </c>
      <c r="G246" s="559">
        <f t="shared" si="77"/>
        <v>1</v>
      </c>
      <c r="H246" s="68"/>
    </row>
    <row r="247" spans="1:8" s="104" customFormat="1" ht="31.5" x14ac:dyDescent="0.25">
      <c r="A247" s="366" t="s">
        <v>796</v>
      </c>
      <c r="B247" s="355" t="s">
        <v>813</v>
      </c>
      <c r="C247" s="544"/>
      <c r="D247" s="26">
        <f>D248</f>
        <v>1858</v>
      </c>
      <c r="E247" s="26">
        <f t="shared" si="88"/>
        <v>1858</v>
      </c>
      <c r="F247" s="26">
        <f t="shared" si="88"/>
        <v>1858</v>
      </c>
      <c r="G247" s="559">
        <f t="shared" si="77"/>
        <v>1</v>
      </c>
      <c r="H247" s="68"/>
    </row>
    <row r="248" spans="1:8" s="104" customFormat="1" ht="31.5" x14ac:dyDescent="0.25">
      <c r="A248" s="347" t="s">
        <v>61</v>
      </c>
      <c r="B248" s="355" t="s">
        <v>813</v>
      </c>
      <c r="C248" s="544">
        <v>600</v>
      </c>
      <c r="D248" s="26">
        <f>D249</f>
        <v>1858</v>
      </c>
      <c r="E248" s="26">
        <f t="shared" si="88"/>
        <v>1858</v>
      </c>
      <c r="F248" s="26">
        <f t="shared" si="88"/>
        <v>1858</v>
      </c>
      <c r="G248" s="559">
        <f t="shared" si="77"/>
        <v>1</v>
      </c>
      <c r="H248" s="68"/>
    </row>
    <row r="249" spans="1:8" s="104" customFormat="1" x14ac:dyDescent="0.25">
      <c r="A249" s="366" t="s">
        <v>130</v>
      </c>
      <c r="B249" s="355" t="s">
        <v>813</v>
      </c>
      <c r="C249" s="544">
        <v>620</v>
      </c>
      <c r="D249" s="26">
        <f>'Функц. 2024-2026'!F883</f>
        <v>1858</v>
      </c>
      <c r="E249" s="26">
        <f>'Функц. 2024-2026'!H883</f>
        <v>1858</v>
      </c>
      <c r="F249" s="26">
        <f>'Функц. 2024-2026'!J883</f>
        <v>1858</v>
      </c>
      <c r="G249" s="559">
        <f t="shared" si="77"/>
        <v>1</v>
      </c>
      <c r="H249" s="68"/>
    </row>
    <row r="250" spans="1:8" ht="18.75" x14ac:dyDescent="0.3">
      <c r="A250" s="289" t="s">
        <v>245</v>
      </c>
      <c r="B250" s="323" t="s">
        <v>139</v>
      </c>
      <c r="C250" s="545"/>
      <c r="D250" s="454">
        <f t="shared" ref="D250:F252" si="89">D251</f>
        <v>954</v>
      </c>
      <c r="E250" s="454">
        <f t="shared" si="89"/>
        <v>954</v>
      </c>
      <c r="F250" s="454">
        <f t="shared" si="89"/>
        <v>669.2</v>
      </c>
      <c r="G250" s="558">
        <f t="shared" si="77"/>
        <v>0.70146750524109014</v>
      </c>
      <c r="H250" s="68"/>
    </row>
    <row r="251" spans="1:8" ht="31.5" x14ac:dyDescent="0.3">
      <c r="A251" s="214" t="s">
        <v>563</v>
      </c>
      <c r="B251" s="226" t="s">
        <v>246</v>
      </c>
      <c r="C251" s="545"/>
      <c r="D251" s="26">
        <f t="shared" si="89"/>
        <v>954</v>
      </c>
      <c r="E251" s="26">
        <f t="shared" si="89"/>
        <v>954</v>
      </c>
      <c r="F251" s="26">
        <f t="shared" si="89"/>
        <v>669.2</v>
      </c>
      <c r="G251" s="559">
        <f t="shared" si="77"/>
        <v>0.70146750524109014</v>
      </c>
      <c r="H251" s="68"/>
    </row>
    <row r="252" spans="1:8" ht="18.75" x14ac:dyDescent="0.3">
      <c r="A252" s="199" t="s">
        <v>564</v>
      </c>
      <c r="B252" s="226" t="s">
        <v>247</v>
      </c>
      <c r="C252" s="545"/>
      <c r="D252" s="26">
        <f t="shared" si="89"/>
        <v>954</v>
      </c>
      <c r="E252" s="26">
        <f t="shared" si="89"/>
        <v>954</v>
      </c>
      <c r="F252" s="26">
        <f t="shared" si="89"/>
        <v>669.2</v>
      </c>
      <c r="G252" s="559">
        <f t="shared" si="77"/>
        <v>0.70146750524109014</v>
      </c>
      <c r="H252" s="68"/>
    </row>
    <row r="253" spans="1:8" ht="31.5" x14ac:dyDescent="0.25">
      <c r="A253" s="199" t="s">
        <v>448</v>
      </c>
      <c r="B253" s="226" t="s">
        <v>248</v>
      </c>
      <c r="C253" s="530"/>
      <c r="D253" s="26">
        <f>D257+D254</f>
        <v>954</v>
      </c>
      <c r="E253" s="26">
        <f>E257+E254</f>
        <v>954</v>
      </c>
      <c r="F253" s="26">
        <f>F257+F254</f>
        <v>669.2</v>
      </c>
      <c r="G253" s="559">
        <f t="shared" si="77"/>
        <v>0.70146750524109014</v>
      </c>
      <c r="H253" s="68"/>
    </row>
    <row r="254" spans="1:8" ht="47.25" x14ac:dyDescent="0.25">
      <c r="A254" s="197" t="s">
        <v>41</v>
      </c>
      <c r="B254" s="226" t="s">
        <v>248</v>
      </c>
      <c r="C254" s="530">
        <v>100</v>
      </c>
      <c r="D254" s="26">
        <f>D255</f>
        <v>141</v>
      </c>
      <c r="E254" s="26">
        <f>E255</f>
        <v>141</v>
      </c>
      <c r="F254" s="26">
        <f>F255</f>
        <v>141</v>
      </c>
      <c r="G254" s="559">
        <f t="shared" si="77"/>
        <v>1</v>
      </c>
      <c r="H254" s="68"/>
    </row>
    <row r="255" spans="1:8" x14ac:dyDescent="0.25">
      <c r="A255" s="197" t="s">
        <v>97</v>
      </c>
      <c r="B255" s="226" t="s">
        <v>248</v>
      </c>
      <c r="C255" s="530">
        <v>120</v>
      </c>
      <c r="D255" s="26">
        <f>'Функц. 2024-2026'!F286</f>
        <v>141</v>
      </c>
      <c r="E255" s="26">
        <f>'Функц. 2024-2026'!H286</f>
        <v>141</v>
      </c>
      <c r="F255" s="26">
        <f>'Функц. 2024-2026'!J286</f>
        <v>141</v>
      </c>
      <c r="G255" s="559">
        <f t="shared" si="77"/>
        <v>1</v>
      </c>
      <c r="H255" s="68"/>
    </row>
    <row r="256" spans="1:8" x14ac:dyDescent="0.25">
      <c r="A256" s="216" t="s">
        <v>121</v>
      </c>
      <c r="B256" s="226" t="s">
        <v>248</v>
      </c>
      <c r="C256" s="458">
        <v>200</v>
      </c>
      <c r="D256" s="26">
        <f>D257</f>
        <v>813</v>
      </c>
      <c r="E256" s="26">
        <f>E257</f>
        <v>813</v>
      </c>
      <c r="F256" s="26">
        <f>F257</f>
        <v>528.20000000000005</v>
      </c>
      <c r="G256" s="559">
        <f t="shared" si="77"/>
        <v>0.64969249692496933</v>
      </c>
      <c r="H256" s="68"/>
    </row>
    <row r="257" spans="1:8" x14ac:dyDescent="0.25">
      <c r="A257" s="216" t="s">
        <v>52</v>
      </c>
      <c r="B257" s="226" t="s">
        <v>248</v>
      </c>
      <c r="C257" s="530">
        <v>240</v>
      </c>
      <c r="D257" s="26">
        <f>'Функц. 2024-2026'!F288</f>
        <v>813</v>
      </c>
      <c r="E257" s="26">
        <f>'Функц. 2024-2026'!H288</f>
        <v>813</v>
      </c>
      <c r="F257" s="26">
        <f>'Функц. 2024-2026'!J288</f>
        <v>528.20000000000005</v>
      </c>
      <c r="G257" s="559">
        <f t="shared" si="77"/>
        <v>0.64969249692496933</v>
      </c>
      <c r="H257" s="68"/>
    </row>
    <row r="258" spans="1:8" s="104" customFormat="1" ht="31.5" x14ac:dyDescent="0.25">
      <c r="A258" s="291" t="s">
        <v>163</v>
      </c>
      <c r="B258" s="327" t="s">
        <v>103</v>
      </c>
      <c r="C258" s="534"/>
      <c r="D258" s="454">
        <f>D259+D285+D294+D303+D310+D315</f>
        <v>80267.200000000012</v>
      </c>
      <c r="E258" s="454">
        <f>E259+E285+E294+E303+E310+E315</f>
        <v>80267.000000000015</v>
      </c>
      <c r="F258" s="454">
        <f>F259+F285+F294+F303+F315+F310</f>
        <v>77160.5</v>
      </c>
      <c r="G258" s="558">
        <f t="shared" si="77"/>
        <v>0.96129791819801391</v>
      </c>
      <c r="H258" s="68"/>
    </row>
    <row r="259" spans="1:8" s="104" customFormat="1" x14ac:dyDescent="0.25">
      <c r="A259" s="217" t="s">
        <v>164</v>
      </c>
      <c r="B259" s="233" t="s">
        <v>107</v>
      </c>
      <c r="C259" s="458"/>
      <c r="D259" s="26">
        <f>D260+D264+D268</f>
        <v>35278.100000000006</v>
      </c>
      <c r="E259" s="26">
        <f t="shared" ref="E259" si="90">E260+E264+E268</f>
        <v>35278.100000000006</v>
      </c>
      <c r="F259" s="26">
        <f t="shared" ref="F259" si="91">F260+F264+F268</f>
        <v>32463.199999999997</v>
      </c>
      <c r="G259" s="559">
        <f t="shared" si="77"/>
        <v>0.92020828786130748</v>
      </c>
      <c r="H259" s="68"/>
    </row>
    <row r="260" spans="1:8" s="104" customFormat="1" ht="31.5" x14ac:dyDescent="0.25">
      <c r="A260" s="218" t="s">
        <v>565</v>
      </c>
      <c r="B260" s="226" t="s">
        <v>165</v>
      </c>
      <c r="C260" s="458"/>
      <c r="D260" s="26">
        <f t="shared" ref="D260:F261" si="92">D261</f>
        <v>288</v>
      </c>
      <c r="E260" s="26">
        <f t="shared" si="92"/>
        <v>288</v>
      </c>
      <c r="F260" s="26">
        <f t="shared" si="92"/>
        <v>288</v>
      </c>
      <c r="G260" s="559">
        <f t="shared" si="77"/>
        <v>1</v>
      </c>
      <c r="H260" s="68"/>
    </row>
    <row r="261" spans="1:8" s="104" customFormat="1" ht="31.5" x14ac:dyDescent="0.25">
      <c r="A261" s="217" t="s">
        <v>645</v>
      </c>
      <c r="B261" s="226" t="s">
        <v>646</v>
      </c>
      <c r="C261" s="458"/>
      <c r="D261" s="26">
        <f t="shared" si="92"/>
        <v>288</v>
      </c>
      <c r="E261" s="26">
        <f t="shared" si="92"/>
        <v>288</v>
      </c>
      <c r="F261" s="26">
        <f t="shared" si="92"/>
        <v>288</v>
      </c>
      <c r="G261" s="559">
        <f t="shared" si="77"/>
        <v>1</v>
      </c>
      <c r="H261" s="68"/>
    </row>
    <row r="262" spans="1:8" s="104" customFormat="1" x14ac:dyDescent="0.25">
      <c r="A262" s="216" t="s">
        <v>121</v>
      </c>
      <c r="B262" s="226" t="s">
        <v>646</v>
      </c>
      <c r="C262" s="530">
        <v>200</v>
      </c>
      <c r="D262" s="26">
        <f>D263</f>
        <v>288</v>
      </c>
      <c r="E262" s="26">
        <f>E263</f>
        <v>288</v>
      </c>
      <c r="F262" s="26">
        <f>F263</f>
        <v>288</v>
      </c>
      <c r="G262" s="559">
        <f t="shared" si="77"/>
        <v>1</v>
      </c>
      <c r="H262" s="68"/>
    </row>
    <row r="263" spans="1:8" s="104" customFormat="1" x14ac:dyDescent="0.25">
      <c r="A263" s="216" t="s">
        <v>52</v>
      </c>
      <c r="B263" s="226" t="s">
        <v>646</v>
      </c>
      <c r="C263" s="530">
        <v>240</v>
      </c>
      <c r="D263" s="26">
        <f>'Функц. 2024-2026'!F686</f>
        <v>288</v>
      </c>
      <c r="E263" s="26">
        <f>'Функц. 2024-2026'!H686</f>
        <v>288</v>
      </c>
      <c r="F263" s="26">
        <f>'Функц. 2024-2026'!J686</f>
        <v>288</v>
      </c>
      <c r="G263" s="559">
        <f t="shared" si="77"/>
        <v>1</v>
      </c>
      <c r="H263" s="68"/>
    </row>
    <row r="264" spans="1:8" s="104" customFormat="1" ht="31.5" x14ac:dyDescent="0.25">
      <c r="A264" s="218" t="s">
        <v>166</v>
      </c>
      <c r="B264" s="226" t="s">
        <v>167</v>
      </c>
      <c r="C264" s="530"/>
      <c r="D264" s="26">
        <f t="shared" ref="D264:F266" si="93">D265</f>
        <v>15802</v>
      </c>
      <c r="E264" s="26">
        <f t="shared" si="93"/>
        <v>15802</v>
      </c>
      <c r="F264" s="26">
        <f t="shared" si="93"/>
        <v>13945.4</v>
      </c>
      <c r="G264" s="559">
        <f t="shared" si="77"/>
        <v>0.88250854322237693</v>
      </c>
      <c r="H264" s="68"/>
    </row>
    <row r="265" spans="1:8" s="104" customFormat="1" x14ac:dyDescent="0.25">
      <c r="A265" s="217" t="s">
        <v>168</v>
      </c>
      <c r="B265" s="226" t="s">
        <v>169</v>
      </c>
      <c r="C265" s="530"/>
      <c r="D265" s="26">
        <f t="shared" si="93"/>
        <v>15802</v>
      </c>
      <c r="E265" s="26">
        <f t="shared" si="93"/>
        <v>15802</v>
      </c>
      <c r="F265" s="26">
        <f t="shared" si="93"/>
        <v>13945.4</v>
      </c>
      <c r="G265" s="559">
        <f t="shared" si="77"/>
        <v>0.88250854322237693</v>
      </c>
      <c r="H265" s="68"/>
    </row>
    <row r="266" spans="1:8" s="104" customFormat="1" x14ac:dyDescent="0.25">
      <c r="A266" s="216" t="s">
        <v>121</v>
      </c>
      <c r="B266" s="226" t="s">
        <v>169</v>
      </c>
      <c r="C266" s="530">
        <v>200</v>
      </c>
      <c r="D266" s="26">
        <f t="shared" si="93"/>
        <v>15802</v>
      </c>
      <c r="E266" s="26">
        <f t="shared" si="93"/>
        <v>15802</v>
      </c>
      <c r="F266" s="26">
        <f t="shared" si="93"/>
        <v>13945.4</v>
      </c>
      <c r="G266" s="559">
        <f t="shared" si="77"/>
        <v>0.88250854322237693</v>
      </c>
      <c r="H266" s="68"/>
    </row>
    <row r="267" spans="1:8" s="104" customFormat="1" x14ac:dyDescent="0.25">
      <c r="A267" s="216" t="s">
        <v>52</v>
      </c>
      <c r="B267" s="226" t="s">
        <v>169</v>
      </c>
      <c r="C267" s="530">
        <v>240</v>
      </c>
      <c r="D267" s="26">
        <f>'Функц. 2024-2026'!F278</f>
        <v>15802</v>
      </c>
      <c r="E267" s="26">
        <f>'Функц. 2024-2026'!H278</f>
        <v>15802</v>
      </c>
      <c r="F267" s="26">
        <f>'Функц. 2024-2026'!J278</f>
        <v>13945.4</v>
      </c>
      <c r="G267" s="559">
        <f t="shared" ref="G267:G330" si="94">F267/E267</f>
        <v>0.88250854322237693</v>
      </c>
      <c r="H267" s="68"/>
    </row>
    <row r="268" spans="1:8" s="104" customFormat="1" x14ac:dyDescent="0.25">
      <c r="A268" s="215" t="s">
        <v>566</v>
      </c>
      <c r="B268" s="233" t="s">
        <v>348</v>
      </c>
      <c r="C268" s="537"/>
      <c r="D268" s="26">
        <f>D269+D272+D275+D282</f>
        <v>19188.100000000002</v>
      </c>
      <c r="E268" s="26">
        <f>E269+E272+E275+E282</f>
        <v>19188.100000000002</v>
      </c>
      <c r="F268" s="26">
        <f>F269+F272+F275+F282</f>
        <v>18229.8</v>
      </c>
      <c r="G268" s="559">
        <f t="shared" si="94"/>
        <v>0.95005758777575666</v>
      </c>
      <c r="H268" s="68"/>
    </row>
    <row r="269" spans="1:8" s="104" customFormat="1" x14ac:dyDescent="0.25">
      <c r="A269" s="215" t="s">
        <v>253</v>
      </c>
      <c r="B269" s="226" t="s">
        <v>347</v>
      </c>
      <c r="C269" s="458"/>
      <c r="D269" s="26">
        <f t="shared" ref="D269:F270" si="95">D270</f>
        <v>575.90000000000009</v>
      </c>
      <c r="E269" s="26">
        <f t="shared" si="95"/>
        <v>575.90000000000009</v>
      </c>
      <c r="F269" s="26">
        <f t="shared" si="95"/>
        <v>39</v>
      </c>
      <c r="G269" s="559">
        <f t="shared" si="94"/>
        <v>6.7720090293453716E-2</v>
      </c>
      <c r="H269" s="68"/>
    </row>
    <row r="270" spans="1:8" s="104" customFormat="1" x14ac:dyDescent="0.25">
      <c r="A270" s="288" t="s">
        <v>121</v>
      </c>
      <c r="B270" s="226" t="s">
        <v>347</v>
      </c>
      <c r="C270" s="530">
        <v>200</v>
      </c>
      <c r="D270" s="26">
        <f t="shared" si="95"/>
        <v>575.90000000000009</v>
      </c>
      <c r="E270" s="26">
        <f t="shared" si="95"/>
        <v>575.90000000000009</v>
      </c>
      <c r="F270" s="26">
        <f t="shared" si="95"/>
        <v>39</v>
      </c>
      <c r="G270" s="559">
        <f t="shared" si="94"/>
        <v>6.7720090293453716E-2</v>
      </c>
      <c r="H270" s="68"/>
    </row>
    <row r="271" spans="1:8" s="104" customFormat="1" x14ac:dyDescent="0.25">
      <c r="A271" s="288" t="s">
        <v>52</v>
      </c>
      <c r="B271" s="226" t="s">
        <v>347</v>
      </c>
      <c r="C271" s="530">
        <v>240</v>
      </c>
      <c r="D271" s="26">
        <f>'Функц. 2024-2026'!F356</f>
        <v>575.90000000000009</v>
      </c>
      <c r="E271" s="26">
        <f>'Функц. 2024-2026'!H356</f>
        <v>575.90000000000009</v>
      </c>
      <c r="F271" s="26">
        <f>'Функц. 2024-2026'!J356</f>
        <v>39</v>
      </c>
      <c r="G271" s="559">
        <f t="shared" si="94"/>
        <v>6.7720090293453716E-2</v>
      </c>
      <c r="H271" s="68"/>
    </row>
    <row r="272" spans="1:8" x14ac:dyDescent="0.25">
      <c r="A272" s="218" t="s">
        <v>255</v>
      </c>
      <c r="B272" s="233" t="s">
        <v>374</v>
      </c>
      <c r="C272" s="537"/>
      <c r="D272" s="26">
        <f t="shared" ref="D272:F273" si="96">D273</f>
        <v>9806.4000000000015</v>
      </c>
      <c r="E272" s="26">
        <f t="shared" si="96"/>
        <v>9806.4000000000015</v>
      </c>
      <c r="F272" s="26">
        <f t="shared" si="96"/>
        <v>9532.7999999999993</v>
      </c>
      <c r="G272" s="559">
        <f t="shared" si="94"/>
        <v>0.97209985315712166</v>
      </c>
      <c r="H272" s="68"/>
    </row>
    <row r="273" spans="1:8" x14ac:dyDescent="0.25">
      <c r="A273" s="216" t="s">
        <v>121</v>
      </c>
      <c r="B273" s="233" t="s">
        <v>374</v>
      </c>
      <c r="C273" s="537" t="s">
        <v>37</v>
      </c>
      <c r="D273" s="26">
        <f t="shared" si="96"/>
        <v>9806.4000000000015</v>
      </c>
      <c r="E273" s="26">
        <f t="shared" si="96"/>
        <v>9806.4000000000015</v>
      </c>
      <c r="F273" s="26">
        <f t="shared" si="96"/>
        <v>9532.7999999999993</v>
      </c>
      <c r="G273" s="559">
        <f t="shared" si="94"/>
        <v>0.97209985315712166</v>
      </c>
      <c r="H273" s="68"/>
    </row>
    <row r="274" spans="1:8" x14ac:dyDescent="0.25">
      <c r="A274" s="216" t="s">
        <v>52</v>
      </c>
      <c r="B274" s="233" t="s">
        <v>374</v>
      </c>
      <c r="C274" s="537" t="s">
        <v>66</v>
      </c>
      <c r="D274" s="26">
        <f>'Функц. 2024-2026'!F442</f>
        <v>9806.4000000000015</v>
      </c>
      <c r="E274" s="26">
        <f>'Функц. 2024-2026'!H442</f>
        <v>9806.4000000000015</v>
      </c>
      <c r="F274" s="26">
        <f>'Функц. 2024-2026'!J442</f>
        <v>9532.7999999999993</v>
      </c>
      <c r="G274" s="559">
        <f t="shared" si="94"/>
        <v>0.97209985315712166</v>
      </c>
      <c r="H274" s="68"/>
    </row>
    <row r="275" spans="1:8" ht="31.5" x14ac:dyDescent="0.25">
      <c r="A275" s="218" t="s">
        <v>254</v>
      </c>
      <c r="B275" s="233" t="s">
        <v>350</v>
      </c>
      <c r="C275" s="537"/>
      <c r="D275" s="26">
        <f>D276+D278+D280</f>
        <v>8458.8000000000011</v>
      </c>
      <c r="E275" s="26">
        <f>E276+E278+E280</f>
        <v>8458.8000000000011</v>
      </c>
      <c r="F275" s="26">
        <f>F276+F278+F280</f>
        <v>8385.7000000000007</v>
      </c>
      <c r="G275" s="559">
        <f t="shared" si="94"/>
        <v>0.99135811226178649</v>
      </c>
      <c r="H275" s="68"/>
    </row>
    <row r="276" spans="1:8" ht="47.25" x14ac:dyDescent="0.25">
      <c r="A276" s="216" t="s">
        <v>41</v>
      </c>
      <c r="B276" s="233" t="s">
        <v>350</v>
      </c>
      <c r="C276" s="537" t="s">
        <v>127</v>
      </c>
      <c r="D276" s="26">
        <f>D277</f>
        <v>7922.8</v>
      </c>
      <c r="E276" s="26">
        <f>E277</f>
        <v>7922.8</v>
      </c>
      <c r="F276" s="26">
        <f>F277</f>
        <v>7922.8</v>
      </c>
      <c r="G276" s="559">
        <f t="shared" si="94"/>
        <v>1</v>
      </c>
      <c r="H276" s="68"/>
    </row>
    <row r="277" spans="1:8" x14ac:dyDescent="0.25">
      <c r="A277" s="216" t="s">
        <v>69</v>
      </c>
      <c r="B277" s="233" t="s">
        <v>350</v>
      </c>
      <c r="C277" s="537" t="s">
        <v>128</v>
      </c>
      <c r="D277" s="26">
        <f>'Функц. 2024-2026'!F445</f>
        <v>7922.8</v>
      </c>
      <c r="E277" s="26">
        <f>'Функц. 2024-2026'!H445</f>
        <v>7922.8</v>
      </c>
      <c r="F277" s="26">
        <f>'Функц. 2024-2026'!J445</f>
        <v>7922.8</v>
      </c>
      <c r="G277" s="559">
        <f t="shared" si="94"/>
        <v>1</v>
      </c>
      <c r="H277" s="68"/>
    </row>
    <row r="278" spans="1:8" x14ac:dyDescent="0.25">
      <c r="A278" s="216" t="s">
        <v>121</v>
      </c>
      <c r="B278" s="233" t="s">
        <v>350</v>
      </c>
      <c r="C278" s="537" t="s">
        <v>37</v>
      </c>
      <c r="D278" s="26">
        <f>D279</f>
        <v>534.30000000000007</v>
      </c>
      <c r="E278" s="26">
        <f>E279</f>
        <v>534.30000000000007</v>
      </c>
      <c r="F278" s="26">
        <f>F279</f>
        <v>461.2</v>
      </c>
      <c r="G278" s="559">
        <f t="shared" si="94"/>
        <v>0.86318547632416232</v>
      </c>
      <c r="H278" s="68"/>
    </row>
    <row r="279" spans="1:8" x14ac:dyDescent="0.25">
      <c r="A279" s="216" t="s">
        <v>52</v>
      </c>
      <c r="B279" s="233" t="s">
        <v>350</v>
      </c>
      <c r="C279" s="537" t="s">
        <v>66</v>
      </c>
      <c r="D279" s="28">
        <f>'Функц. 2024-2026'!F447</f>
        <v>534.30000000000007</v>
      </c>
      <c r="E279" s="28">
        <f>'Функц. 2024-2026'!H447</f>
        <v>534.30000000000007</v>
      </c>
      <c r="F279" s="28">
        <f>'Функц. 2024-2026'!J447</f>
        <v>461.2</v>
      </c>
      <c r="G279" s="559">
        <f t="shared" si="94"/>
        <v>0.86318547632416232</v>
      </c>
      <c r="H279" s="68"/>
    </row>
    <row r="280" spans="1:8" x14ac:dyDescent="0.25">
      <c r="A280" s="347" t="s">
        <v>42</v>
      </c>
      <c r="B280" s="233" t="s">
        <v>350</v>
      </c>
      <c r="C280" s="536" t="s">
        <v>363</v>
      </c>
      <c r="D280" s="28">
        <f>D281</f>
        <v>1.7</v>
      </c>
      <c r="E280" s="28">
        <f>E281</f>
        <v>1.7</v>
      </c>
      <c r="F280" s="28">
        <f>F281</f>
        <v>1.7</v>
      </c>
      <c r="G280" s="559">
        <f t="shared" si="94"/>
        <v>1</v>
      </c>
      <c r="H280" s="68"/>
    </row>
    <row r="281" spans="1:8" x14ac:dyDescent="0.25">
      <c r="A281" s="347" t="s">
        <v>58</v>
      </c>
      <c r="B281" s="233" t="s">
        <v>350</v>
      </c>
      <c r="C281" s="536" t="s">
        <v>455</v>
      </c>
      <c r="D281" s="28">
        <f>'Функц. 2024-2026'!F449</f>
        <v>1.7</v>
      </c>
      <c r="E281" s="28">
        <f>'Функц. 2024-2026'!H449</f>
        <v>1.7</v>
      </c>
      <c r="F281" s="28">
        <f>'Функц. 2024-2026'!J449</f>
        <v>1.7</v>
      </c>
      <c r="G281" s="559">
        <f t="shared" si="94"/>
        <v>1</v>
      </c>
      <c r="H281" s="68"/>
    </row>
    <row r="282" spans="1:8" ht="47.25" x14ac:dyDescent="0.25">
      <c r="A282" s="197" t="s">
        <v>378</v>
      </c>
      <c r="B282" s="233" t="s">
        <v>377</v>
      </c>
      <c r="C282" s="530"/>
      <c r="D282" s="28">
        <f t="shared" ref="D282:F283" si="97">D283</f>
        <v>347</v>
      </c>
      <c r="E282" s="28">
        <f t="shared" si="97"/>
        <v>347</v>
      </c>
      <c r="F282" s="28">
        <f t="shared" si="97"/>
        <v>272.3</v>
      </c>
      <c r="G282" s="559">
        <f t="shared" si="94"/>
        <v>0.78472622478386167</v>
      </c>
      <c r="H282" s="68"/>
    </row>
    <row r="283" spans="1:8" x14ac:dyDescent="0.25">
      <c r="A283" s="216" t="s">
        <v>121</v>
      </c>
      <c r="B283" s="233" t="s">
        <v>377</v>
      </c>
      <c r="C283" s="530">
        <v>200</v>
      </c>
      <c r="D283" s="28">
        <f t="shared" si="97"/>
        <v>347</v>
      </c>
      <c r="E283" s="28">
        <f t="shared" si="97"/>
        <v>347</v>
      </c>
      <c r="F283" s="28">
        <f t="shared" si="97"/>
        <v>272.3</v>
      </c>
      <c r="G283" s="559">
        <f t="shared" si="94"/>
        <v>0.78472622478386167</v>
      </c>
      <c r="H283" s="68"/>
    </row>
    <row r="284" spans="1:8" x14ac:dyDescent="0.25">
      <c r="A284" s="216" t="s">
        <v>52</v>
      </c>
      <c r="B284" s="233" t="s">
        <v>377</v>
      </c>
      <c r="C284" s="530">
        <v>240</v>
      </c>
      <c r="D284" s="28">
        <f>'Функц. 2024-2026'!F359</f>
        <v>347</v>
      </c>
      <c r="E284" s="28">
        <f>'Функц. 2024-2026'!H359</f>
        <v>347</v>
      </c>
      <c r="F284" s="28">
        <f>'Функц. 2024-2026'!J359</f>
        <v>272.3</v>
      </c>
      <c r="G284" s="559">
        <f t="shared" si="94"/>
        <v>0.78472622478386167</v>
      </c>
      <c r="H284" s="68"/>
    </row>
    <row r="285" spans="1:8" s="104" customFormat="1" ht="31.5" x14ac:dyDescent="0.25">
      <c r="A285" s="217" t="s">
        <v>641</v>
      </c>
      <c r="B285" s="226" t="s">
        <v>108</v>
      </c>
      <c r="C285" s="537"/>
      <c r="D285" s="26">
        <f>D286+D290</f>
        <v>69.5</v>
      </c>
      <c r="E285" s="26">
        <f>E286+E290</f>
        <v>69.400000000000006</v>
      </c>
      <c r="F285" s="26">
        <f>F286+F290</f>
        <v>69.400000000000006</v>
      </c>
      <c r="G285" s="559">
        <f t="shared" si="94"/>
        <v>1</v>
      </c>
      <c r="H285" s="68"/>
    </row>
    <row r="286" spans="1:8" s="104" customFormat="1" ht="31.5" x14ac:dyDescent="0.25">
      <c r="A286" s="218" t="s">
        <v>599</v>
      </c>
      <c r="B286" s="226" t="s">
        <v>171</v>
      </c>
      <c r="C286" s="537"/>
      <c r="D286" s="26">
        <f>D287</f>
        <v>37.5</v>
      </c>
      <c r="E286" s="26">
        <f>E287</f>
        <v>37.4</v>
      </c>
      <c r="F286" s="26">
        <f>F287</f>
        <v>37.4</v>
      </c>
      <c r="G286" s="559">
        <f t="shared" si="94"/>
        <v>1</v>
      </c>
      <c r="H286" s="68"/>
    </row>
    <row r="287" spans="1:8" s="104" customFormat="1" ht="31.5" x14ac:dyDescent="0.25">
      <c r="A287" s="218" t="s">
        <v>170</v>
      </c>
      <c r="B287" s="226" t="s">
        <v>598</v>
      </c>
      <c r="C287" s="537"/>
      <c r="D287" s="26">
        <f>D288</f>
        <v>37.5</v>
      </c>
      <c r="E287" s="26">
        <f t="shared" ref="D287:F288" si="98">E288</f>
        <v>37.4</v>
      </c>
      <c r="F287" s="26">
        <f t="shared" si="98"/>
        <v>37.4</v>
      </c>
      <c r="G287" s="559">
        <f t="shared" si="94"/>
        <v>1</v>
      </c>
      <c r="H287" s="68"/>
    </row>
    <row r="288" spans="1:8" s="104" customFormat="1" x14ac:dyDescent="0.25">
      <c r="A288" s="288" t="s">
        <v>121</v>
      </c>
      <c r="B288" s="226" t="s">
        <v>598</v>
      </c>
      <c r="C288" s="546" t="s">
        <v>37</v>
      </c>
      <c r="D288" s="26">
        <f t="shared" si="98"/>
        <v>37.5</v>
      </c>
      <c r="E288" s="26">
        <f t="shared" si="98"/>
        <v>37.4</v>
      </c>
      <c r="F288" s="26">
        <f t="shared" si="98"/>
        <v>37.4</v>
      </c>
      <c r="G288" s="559">
        <f t="shared" si="94"/>
        <v>1</v>
      </c>
      <c r="H288" s="68"/>
    </row>
    <row r="289" spans="1:8" s="104" customFormat="1" x14ac:dyDescent="0.25">
      <c r="A289" s="288" t="s">
        <v>52</v>
      </c>
      <c r="B289" s="226" t="s">
        <v>598</v>
      </c>
      <c r="C289" s="546" t="s">
        <v>66</v>
      </c>
      <c r="D289" s="26">
        <f>'Функц. 2024-2026'!F248</f>
        <v>37.5</v>
      </c>
      <c r="E289" s="26">
        <f>'Функц. 2024-2026'!H248</f>
        <v>37.4</v>
      </c>
      <c r="F289" s="26">
        <f>'Функц. 2024-2026'!J248</f>
        <v>37.4</v>
      </c>
      <c r="G289" s="559">
        <f t="shared" si="94"/>
        <v>1</v>
      </c>
      <c r="H289" s="68"/>
    </row>
    <row r="290" spans="1:8" s="104" customFormat="1" ht="47.25" x14ac:dyDescent="0.25">
      <c r="A290" s="197" t="s">
        <v>600</v>
      </c>
      <c r="B290" s="226" t="s">
        <v>601</v>
      </c>
      <c r="C290" s="537"/>
      <c r="D290" s="26">
        <f>D291</f>
        <v>32</v>
      </c>
      <c r="E290" s="26">
        <f t="shared" ref="E290:F292" si="99">E291</f>
        <v>32</v>
      </c>
      <c r="F290" s="26">
        <f t="shared" si="99"/>
        <v>32</v>
      </c>
      <c r="G290" s="559">
        <f t="shared" si="94"/>
        <v>1</v>
      </c>
      <c r="H290" s="68"/>
    </row>
    <row r="291" spans="1:8" s="104" customFormat="1" ht="31.5" x14ac:dyDescent="0.25">
      <c r="A291" s="197" t="s">
        <v>170</v>
      </c>
      <c r="B291" s="226" t="s">
        <v>602</v>
      </c>
      <c r="C291" s="537"/>
      <c r="D291" s="26">
        <f>D292</f>
        <v>32</v>
      </c>
      <c r="E291" s="26">
        <f t="shared" si="99"/>
        <v>32</v>
      </c>
      <c r="F291" s="26">
        <f t="shared" si="99"/>
        <v>32</v>
      </c>
      <c r="G291" s="559">
        <f t="shared" si="94"/>
        <v>1</v>
      </c>
      <c r="H291" s="68"/>
    </row>
    <row r="292" spans="1:8" s="104" customFormat="1" x14ac:dyDescent="0.25">
      <c r="A292" s="197" t="s">
        <v>121</v>
      </c>
      <c r="B292" s="226" t="s">
        <v>602</v>
      </c>
      <c r="C292" s="537" t="s">
        <v>37</v>
      </c>
      <c r="D292" s="26">
        <f>D293</f>
        <v>32</v>
      </c>
      <c r="E292" s="26">
        <f t="shared" si="99"/>
        <v>32</v>
      </c>
      <c r="F292" s="26">
        <f t="shared" si="99"/>
        <v>32</v>
      </c>
      <c r="G292" s="559">
        <f t="shared" si="94"/>
        <v>1</v>
      </c>
      <c r="H292" s="68"/>
    </row>
    <row r="293" spans="1:8" s="104" customFormat="1" x14ac:dyDescent="0.25">
      <c r="A293" s="197" t="s">
        <v>52</v>
      </c>
      <c r="B293" s="226" t="s">
        <v>602</v>
      </c>
      <c r="C293" s="537" t="s">
        <v>66</v>
      </c>
      <c r="D293" s="26">
        <f>'Функц. 2024-2026'!F252</f>
        <v>32</v>
      </c>
      <c r="E293" s="26">
        <f>'Функц. 2024-2026'!H252</f>
        <v>32</v>
      </c>
      <c r="F293" s="26">
        <f>'Функц. 2024-2026'!J252</f>
        <v>32</v>
      </c>
      <c r="G293" s="559">
        <f t="shared" si="94"/>
        <v>1</v>
      </c>
      <c r="H293" s="68"/>
    </row>
    <row r="294" spans="1:8" s="104" customFormat="1" ht="31.5" x14ac:dyDescent="0.25">
      <c r="A294" s="217" t="s">
        <v>625</v>
      </c>
      <c r="B294" s="226" t="s">
        <v>104</v>
      </c>
      <c r="C294" s="458"/>
      <c r="D294" s="26">
        <f>D295+D299</f>
        <v>1437.5</v>
      </c>
      <c r="E294" s="26">
        <f>E295+E299</f>
        <v>1437.4</v>
      </c>
      <c r="F294" s="26">
        <f>F295+F299</f>
        <v>1424</v>
      </c>
      <c r="G294" s="559">
        <f t="shared" si="94"/>
        <v>0.99067761235564211</v>
      </c>
      <c r="H294" s="68"/>
    </row>
    <row r="295" spans="1:8" s="104" customFormat="1" ht="63" x14ac:dyDescent="0.25">
      <c r="A295" s="218" t="s">
        <v>627</v>
      </c>
      <c r="B295" s="226" t="s">
        <v>124</v>
      </c>
      <c r="C295" s="458"/>
      <c r="D295" s="26">
        <f t="shared" ref="D295:F297" si="100">D296</f>
        <v>408.59999999999991</v>
      </c>
      <c r="E295" s="26">
        <f t="shared" si="100"/>
        <v>408.49999999999989</v>
      </c>
      <c r="F295" s="26">
        <f t="shared" si="100"/>
        <v>395.1</v>
      </c>
      <c r="G295" s="559">
        <f t="shared" si="94"/>
        <v>0.9671970624235009</v>
      </c>
      <c r="H295" s="68"/>
    </row>
    <row r="296" spans="1:8" s="104" customFormat="1" ht="31.5" x14ac:dyDescent="0.25">
      <c r="A296" s="218" t="s">
        <v>175</v>
      </c>
      <c r="B296" s="226" t="s">
        <v>176</v>
      </c>
      <c r="C296" s="458"/>
      <c r="D296" s="26">
        <f t="shared" si="100"/>
        <v>408.59999999999991</v>
      </c>
      <c r="E296" s="26">
        <f t="shared" si="100"/>
        <v>408.49999999999989</v>
      </c>
      <c r="F296" s="26">
        <f t="shared" si="100"/>
        <v>395.1</v>
      </c>
      <c r="G296" s="559">
        <f t="shared" si="94"/>
        <v>0.9671970624235009</v>
      </c>
      <c r="H296" s="68"/>
    </row>
    <row r="297" spans="1:8" s="104" customFormat="1" x14ac:dyDescent="0.25">
      <c r="A297" s="216" t="s">
        <v>121</v>
      </c>
      <c r="B297" s="226" t="s">
        <v>176</v>
      </c>
      <c r="C297" s="458">
        <v>200</v>
      </c>
      <c r="D297" s="26">
        <f t="shared" si="100"/>
        <v>408.59999999999991</v>
      </c>
      <c r="E297" s="26">
        <f t="shared" si="100"/>
        <v>408.49999999999989</v>
      </c>
      <c r="F297" s="26">
        <f t="shared" si="100"/>
        <v>395.1</v>
      </c>
      <c r="G297" s="559">
        <f t="shared" si="94"/>
        <v>0.9671970624235009</v>
      </c>
      <c r="H297" s="68"/>
    </row>
    <row r="298" spans="1:8" s="104" customFormat="1" x14ac:dyDescent="0.25">
      <c r="A298" s="216" t="s">
        <v>52</v>
      </c>
      <c r="B298" s="226" t="s">
        <v>176</v>
      </c>
      <c r="C298" s="458">
        <v>240</v>
      </c>
      <c r="D298" s="26">
        <f>'Функц. 2024-2026'!F237</f>
        <v>408.59999999999991</v>
      </c>
      <c r="E298" s="26">
        <f>'Функц. 2024-2026'!H237</f>
        <v>408.49999999999989</v>
      </c>
      <c r="F298" s="26">
        <f>'Функц. 2024-2026'!J237</f>
        <v>395.1</v>
      </c>
      <c r="G298" s="559">
        <f t="shared" si="94"/>
        <v>0.9671970624235009</v>
      </c>
      <c r="H298" s="68"/>
    </row>
    <row r="299" spans="1:8" s="104" customFormat="1" ht="47.25" x14ac:dyDescent="0.25">
      <c r="A299" s="201" t="s">
        <v>604</v>
      </c>
      <c r="B299" s="226" t="s">
        <v>603</v>
      </c>
      <c r="C299" s="537"/>
      <c r="D299" s="26">
        <f t="shared" ref="D299:F301" si="101">D300</f>
        <v>1028.9000000000001</v>
      </c>
      <c r="E299" s="26">
        <f t="shared" si="101"/>
        <v>1028.9000000000001</v>
      </c>
      <c r="F299" s="26">
        <f t="shared" si="101"/>
        <v>1028.9000000000001</v>
      </c>
      <c r="G299" s="559">
        <f t="shared" si="94"/>
        <v>1</v>
      </c>
      <c r="H299" s="68"/>
    </row>
    <row r="300" spans="1:8" s="104" customFormat="1" ht="31.5" x14ac:dyDescent="0.25">
      <c r="A300" s="201" t="s">
        <v>605</v>
      </c>
      <c r="B300" s="226" t="s">
        <v>606</v>
      </c>
      <c r="C300" s="537"/>
      <c r="D300" s="26">
        <f t="shared" si="101"/>
        <v>1028.9000000000001</v>
      </c>
      <c r="E300" s="26">
        <f t="shared" si="101"/>
        <v>1028.9000000000001</v>
      </c>
      <c r="F300" s="26">
        <f t="shared" si="101"/>
        <v>1028.9000000000001</v>
      </c>
      <c r="G300" s="559">
        <f t="shared" si="94"/>
        <v>1</v>
      </c>
      <c r="H300" s="68"/>
    </row>
    <row r="301" spans="1:8" s="104" customFormat="1" x14ac:dyDescent="0.25">
      <c r="A301" s="197" t="s">
        <v>121</v>
      </c>
      <c r="B301" s="226" t="s">
        <v>606</v>
      </c>
      <c r="C301" s="537" t="s">
        <v>37</v>
      </c>
      <c r="D301" s="26">
        <f t="shared" si="101"/>
        <v>1028.9000000000001</v>
      </c>
      <c r="E301" s="26">
        <f t="shared" si="101"/>
        <v>1028.9000000000001</v>
      </c>
      <c r="F301" s="26">
        <f t="shared" si="101"/>
        <v>1028.9000000000001</v>
      </c>
      <c r="G301" s="559">
        <f t="shared" si="94"/>
        <v>1</v>
      </c>
      <c r="H301" s="68"/>
    </row>
    <row r="302" spans="1:8" s="104" customFormat="1" x14ac:dyDescent="0.25">
      <c r="A302" s="197" t="s">
        <v>52</v>
      </c>
      <c r="B302" s="226" t="s">
        <v>606</v>
      </c>
      <c r="C302" s="537" t="s">
        <v>66</v>
      </c>
      <c r="D302" s="26">
        <f>'Функц. 2024-2026'!F241</f>
        <v>1028.9000000000001</v>
      </c>
      <c r="E302" s="26">
        <f>'Функц. 2024-2026'!H241</f>
        <v>1028.9000000000001</v>
      </c>
      <c r="F302" s="26">
        <f>'Функц. 2024-2026'!J241</f>
        <v>1028.9000000000001</v>
      </c>
      <c r="G302" s="559">
        <f t="shared" si="94"/>
        <v>1</v>
      </c>
      <c r="H302" s="68"/>
    </row>
    <row r="303" spans="1:8" s="104" customFormat="1" ht="31.5" x14ac:dyDescent="0.25">
      <c r="A303" s="199" t="s">
        <v>375</v>
      </c>
      <c r="B303" s="226" t="s">
        <v>105</v>
      </c>
      <c r="C303" s="530"/>
      <c r="D303" s="26">
        <f t="shared" ref="D303:F306" si="102">D304</f>
        <v>15462.9</v>
      </c>
      <c r="E303" s="26">
        <f t="shared" si="102"/>
        <v>15462.9</v>
      </c>
      <c r="F303" s="26">
        <f t="shared" si="102"/>
        <v>15225.999999999998</v>
      </c>
      <c r="G303" s="559">
        <f t="shared" si="94"/>
        <v>0.9846794585750408</v>
      </c>
      <c r="H303" s="68"/>
    </row>
    <row r="304" spans="1:8" s="104" customFormat="1" ht="31.5" x14ac:dyDescent="0.25">
      <c r="A304" s="218" t="s">
        <v>607</v>
      </c>
      <c r="B304" s="226" t="s">
        <v>125</v>
      </c>
      <c r="C304" s="537"/>
      <c r="D304" s="26">
        <f t="shared" si="102"/>
        <v>15462.9</v>
      </c>
      <c r="E304" s="26">
        <f t="shared" si="102"/>
        <v>15462.9</v>
      </c>
      <c r="F304" s="26">
        <f t="shared" si="102"/>
        <v>15225.999999999998</v>
      </c>
      <c r="G304" s="559">
        <f t="shared" si="94"/>
        <v>0.9846794585750408</v>
      </c>
      <c r="H304" s="68"/>
    </row>
    <row r="305" spans="1:8" s="104" customFormat="1" x14ac:dyDescent="0.25">
      <c r="A305" s="216" t="s">
        <v>173</v>
      </c>
      <c r="B305" s="226" t="s">
        <v>174</v>
      </c>
      <c r="C305" s="530"/>
      <c r="D305" s="26">
        <f>D306+D308</f>
        <v>15462.9</v>
      </c>
      <c r="E305" s="26">
        <f>E306+E308</f>
        <v>15462.9</v>
      </c>
      <c r="F305" s="26">
        <f>F306+F308</f>
        <v>15225.999999999998</v>
      </c>
      <c r="G305" s="559">
        <f t="shared" si="94"/>
        <v>0.9846794585750408</v>
      </c>
      <c r="H305" s="68"/>
    </row>
    <row r="306" spans="1:8" s="104" customFormat="1" x14ac:dyDescent="0.25">
      <c r="A306" s="216" t="s">
        <v>121</v>
      </c>
      <c r="B306" s="226" t="s">
        <v>174</v>
      </c>
      <c r="C306" s="537" t="s">
        <v>37</v>
      </c>
      <c r="D306" s="26">
        <f t="shared" si="102"/>
        <v>279.89999999999998</v>
      </c>
      <c r="E306" s="26">
        <f t="shared" si="102"/>
        <v>279.89999999999998</v>
      </c>
      <c r="F306" s="26">
        <f t="shared" si="102"/>
        <v>275.89999999999998</v>
      </c>
      <c r="G306" s="559">
        <f t="shared" si="94"/>
        <v>0.98570918185066092</v>
      </c>
      <c r="H306" s="68"/>
    </row>
    <row r="307" spans="1:8" s="104" customFormat="1" x14ac:dyDescent="0.25">
      <c r="A307" s="216" t="s">
        <v>52</v>
      </c>
      <c r="B307" s="226" t="s">
        <v>174</v>
      </c>
      <c r="C307" s="537" t="s">
        <v>66</v>
      </c>
      <c r="D307" s="26">
        <f>'Функц. 2024-2026'!F257</f>
        <v>279.89999999999998</v>
      </c>
      <c r="E307" s="26">
        <f>'Функц. 2024-2026'!H257</f>
        <v>279.89999999999998</v>
      </c>
      <c r="F307" s="26">
        <f>'Функц. 2024-2026'!J257</f>
        <v>275.89999999999998</v>
      </c>
      <c r="G307" s="559">
        <f t="shared" si="94"/>
        <v>0.98570918185066092</v>
      </c>
      <c r="H307" s="68"/>
    </row>
    <row r="308" spans="1:8" s="104" customFormat="1" ht="31.5" x14ac:dyDescent="0.25">
      <c r="A308" s="197" t="s">
        <v>61</v>
      </c>
      <c r="B308" s="226" t="s">
        <v>174</v>
      </c>
      <c r="C308" s="537" t="s">
        <v>411</v>
      </c>
      <c r="D308" s="26">
        <f>D309</f>
        <v>15183</v>
      </c>
      <c r="E308" s="26">
        <f>E309</f>
        <v>15183</v>
      </c>
      <c r="F308" s="26">
        <f>F309</f>
        <v>14950.099999999999</v>
      </c>
      <c r="G308" s="559">
        <f t="shared" si="94"/>
        <v>0.98466047553184477</v>
      </c>
      <c r="H308" s="68"/>
    </row>
    <row r="309" spans="1:8" s="104" customFormat="1" x14ac:dyDescent="0.25">
      <c r="A309" s="197" t="s">
        <v>62</v>
      </c>
      <c r="B309" s="226" t="s">
        <v>174</v>
      </c>
      <c r="C309" s="537" t="s">
        <v>412</v>
      </c>
      <c r="D309" s="26">
        <f>'Функц. 2024-2026'!F259+'Функц. 2024-2026'!F626+'Функц. 2024-2026'!F674</f>
        <v>15183</v>
      </c>
      <c r="E309" s="26">
        <f>'Функц. 2024-2026'!H259+'Функц. 2024-2026'!H626+'Функц. 2024-2026'!H674</f>
        <v>15183</v>
      </c>
      <c r="F309" s="26">
        <f>'Функц. 2024-2026'!J259+'Функц. 2024-2026'!J626+'Функц. 2024-2026'!J674</f>
        <v>14950.099999999999</v>
      </c>
      <c r="G309" s="559">
        <f t="shared" si="94"/>
        <v>0.98466047553184477</v>
      </c>
      <c r="H309" s="68"/>
    </row>
    <row r="310" spans="1:8" s="104" customFormat="1" ht="31.5" x14ac:dyDescent="0.25">
      <c r="A310" s="197" t="s">
        <v>608</v>
      </c>
      <c r="B310" s="226" t="s">
        <v>109</v>
      </c>
      <c r="C310" s="537"/>
      <c r="D310" s="26">
        <f t="shared" ref="D310:F312" si="103">D311</f>
        <v>762.3</v>
      </c>
      <c r="E310" s="26">
        <f t="shared" si="103"/>
        <v>762.3</v>
      </c>
      <c r="F310" s="26">
        <f t="shared" si="103"/>
        <v>762.3</v>
      </c>
      <c r="G310" s="559">
        <f t="shared" si="94"/>
        <v>1</v>
      </c>
      <c r="H310" s="68"/>
    </row>
    <row r="311" spans="1:8" s="104" customFormat="1" ht="31.5" x14ac:dyDescent="0.25">
      <c r="A311" s="197" t="s">
        <v>609</v>
      </c>
      <c r="B311" s="226" t="s">
        <v>610</v>
      </c>
      <c r="C311" s="537"/>
      <c r="D311" s="26">
        <f t="shared" si="103"/>
        <v>762.3</v>
      </c>
      <c r="E311" s="26">
        <f t="shared" si="103"/>
        <v>762.3</v>
      </c>
      <c r="F311" s="26">
        <f t="shared" si="103"/>
        <v>762.3</v>
      </c>
      <c r="G311" s="559">
        <f t="shared" si="94"/>
        <v>1</v>
      </c>
      <c r="H311" s="68"/>
    </row>
    <row r="312" spans="1:8" s="104" customFormat="1" ht="31.5" x14ac:dyDescent="0.25">
      <c r="A312" s="197" t="s">
        <v>172</v>
      </c>
      <c r="B312" s="226" t="s">
        <v>611</v>
      </c>
      <c r="C312" s="537"/>
      <c r="D312" s="26">
        <f>D313</f>
        <v>762.3</v>
      </c>
      <c r="E312" s="26">
        <f t="shared" si="103"/>
        <v>762.3</v>
      </c>
      <c r="F312" s="26">
        <f t="shared" si="103"/>
        <v>762.3</v>
      </c>
      <c r="G312" s="559">
        <f t="shared" si="94"/>
        <v>1</v>
      </c>
      <c r="H312" s="68"/>
    </row>
    <row r="313" spans="1:8" s="104" customFormat="1" ht="31.5" x14ac:dyDescent="0.25">
      <c r="A313" s="197" t="s">
        <v>61</v>
      </c>
      <c r="B313" s="226" t="s">
        <v>611</v>
      </c>
      <c r="C313" s="537" t="s">
        <v>411</v>
      </c>
      <c r="D313" s="26">
        <f>D314</f>
        <v>762.3</v>
      </c>
      <c r="E313" s="26">
        <f>E314</f>
        <v>762.3</v>
      </c>
      <c r="F313" s="26">
        <f>F314</f>
        <v>762.3</v>
      </c>
      <c r="G313" s="559">
        <f t="shared" si="94"/>
        <v>1</v>
      </c>
      <c r="H313" s="68"/>
    </row>
    <row r="314" spans="1:8" s="104" customFormat="1" x14ac:dyDescent="0.25">
      <c r="A314" s="197" t="s">
        <v>62</v>
      </c>
      <c r="B314" s="226" t="s">
        <v>611</v>
      </c>
      <c r="C314" s="537" t="s">
        <v>412</v>
      </c>
      <c r="D314" s="26">
        <f>'Функц. 2024-2026'!F264</f>
        <v>762.3</v>
      </c>
      <c r="E314" s="26">
        <f>'Функц. 2024-2026'!H264</f>
        <v>762.3</v>
      </c>
      <c r="F314" s="26">
        <f>'Функц. 2024-2026'!J264</f>
        <v>762.3</v>
      </c>
      <c r="G314" s="559">
        <f t="shared" si="94"/>
        <v>1</v>
      </c>
      <c r="H314" s="68"/>
    </row>
    <row r="315" spans="1:8" s="104" customFormat="1" x14ac:dyDescent="0.25">
      <c r="A315" s="218" t="s">
        <v>47</v>
      </c>
      <c r="B315" s="226" t="s">
        <v>106</v>
      </c>
      <c r="C315" s="537"/>
      <c r="D315" s="26">
        <f t="shared" ref="D315:F316" si="104">D316</f>
        <v>27256.899999999998</v>
      </c>
      <c r="E315" s="26">
        <f t="shared" si="104"/>
        <v>27256.899999999998</v>
      </c>
      <c r="F315" s="26">
        <f t="shared" si="104"/>
        <v>27215.600000000002</v>
      </c>
      <c r="G315" s="559">
        <f t="shared" si="94"/>
        <v>0.99848478733825208</v>
      </c>
      <c r="H315" s="68"/>
    </row>
    <row r="316" spans="1:8" s="104" customFormat="1" ht="31.5" x14ac:dyDescent="0.25">
      <c r="A316" s="218" t="s">
        <v>278</v>
      </c>
      <c r="B316" s="226" t="s">
        <v>368</v>
      </c>
      <c r="C316" s="537"/>
      <c r="D316" s="26">
        <f t="shared" si="104"/>
        <v>27256.899999999998</v>
      </c>
      <c r="E316" s="26">
        <f t="shared" si="104"/>
        <v>27256.899999999998</v>
      </c>
      <c r="F316" s="26">
        <f t="shared" si="104"/>
        <v>27215.600000000002</v>
      </c>
      <c r="G316" s="559">
        <f t="shared" si="94"/>
        <v>0.99848478733825208</v>
      </c>
      <c r="H316" s="68"/>
    </row>
    <row r="317" spans="1:8" s="104" customFormat="1" x14ac:dyDescent="0.25">
      <c r="A317" s="218" t="s">
        <v>177</v>
      </c>
      <c r="B317" s="226" t="s">
        <v>178</v>
      </c>
      <c r="C317" s="537"/>
      <c r="D317" s="26">
        <f>D318+D320</f>
        <v>27256.899999999998</v>
      </c>
      <c r="E317" s="26">
        <f>E318+E320</f>
        <v>27256.899999999998</v>
      </c>
      <c r="F317" s="26">
        <f>F318+F320</f>
        <v>27215.600000000002</v>
      </c>
      <c r="G317" s="559">
        <f t="shared" si="94"/>
        <v>0.99848478733825208</v>
      </c>
      <c r="H317" s="68"/>
    </row>
    <row r="318" spans="1:8" s="104" customFormat="1" ht="47.25" x14ac:dyDescent="0.25">
      <c r="A318" s="216" t="s">
        <v>151</v>
      </c>
      <c r="B318" s="226" t="s">
        <v>178</v>
      </c>
      <c r="C318" s="537" t="s">
        <v>127</v>
      </c>
      <c r="D318" s="26">
        <f>D319</f>
        <v>25553.199999999997</v>
      </c>
      <c r="E318" s="26">
        <f>E319</f>
        <v>25553.199999999997</v>
      </c>
      <c r="F318" s="26">
        <f>F319</f>
        <v>25553.200000000001</v>
      </c>
      <c r="G318" s="559">
        <f t="shared" si="94"/>
        <v>1.0000000000000002</v>
      </c>
      <c r="H318" s="68"/>
    </row>
    <row r="319" spans="1:8" s="104" customFormat="1" x14ac:dyDescent="0.25">
      <c r="A319" s="216" t="s">
        <v>69</v>
      </c>
      <c r="B319" s="226" t="s">
        <v>178</v>
      </c>
      <c r="C319" s="537" t="s">
        <v>128</v>
      </c>
      <c r="D319" s="26">
        <f>'Функц. 2024-2026'!F269</f>
        <v>25553.199999999997</v>
      </c>
      <c r="E319" s="26">
        <f>'Функц. 2024-2026'!H269</f>
        <v>25553.199999999997</v>
      </c>
      <c r="F319" s="26">
        <f>'Функц. 2024-2026'!J269</f>
        <v>25553.200000000001</v>
      </c>
      <c r="G319" s="559">
        <f t="shared" si="94"/>
        <v>1.0000000000000002</v>
      </c>
      <c r="H319" s="68"/>
    </row>
    <row r="320" spans="1:8" s="104" customFormat="1" x14ac:dyDescent="0.25">
      <c r="A320" s="197" t="s">
        <v>121</v>
      </c>
      <c r="B320" s="226" t="s">
        <v>178</v>
      </c>
      <c r="C320" s="536" t="s">
        <v>37</v>
      </c>
      <c r="D320" s="26">
        <f>D321</f>
        <v>1703.6999999999998</v>
      </c>
      <c r="E320" s="26">
        <f>E321</f>
        <v>1703.6999999999998</v>
      </c>
      <c r="F320" s="26">
        <f>F321</f>
        <v>1662.4</v>
      </c>
      <c r="G320" s="559">
        <f t="shared" si="94"/>
        <v>0.97575864295357184</v>
      </c>
      <c r="H320" s="68"/>
    </row>
    <row r="321" spans="1:8" s="104" customFormat="1" x14ac:dyDescent="0.25">
      <c r="A321" s="197" t="s">
        <v>52</v>
      </c>
      <c r="B321" s="226" t="s">
        <v>178</v>
      </c>
      <c r="C321" s="536" t="s">
        <v>66</v>
      </c>
      <c r="D321" s="26">
        <f>'Функц. 2024-2026'!F271</f>
        <v>1703.6999999999998</v>
      </c>
      <c r="E321" s="26">
        <f>'Функц. 2024-2026'!H271</f>
        <v>1703.6999999999998</v>
      </c>
      <c r="F321" s="26">
        <f>'Функц. 2024-2026'!J271</f>
        <v>1662.4</v>
      </c>
      <c r="G321" s="559">
        <f t="shared" si="94"/>
        <v>0.97575864295357184</v>
      </c>
      <c r="H321" s="68"/>
    </row>
    <row r="322" spans="1:8" s="104" customFormat="1" x14ac:dyDescent="0.25">
      <c r="A322" s="291" t="s">
        <v>182</v>
      </c>
      <c r="B322" s="323" t="s">
        <v>117</v>
      </c>
      <c r="C322" s="542"/>
      <c r="D322" s="454">
        <f>D323+D331</f>
        <v>69809.3</v>
      </c>
      <c r="E322" s="454">
        <f>E323+E331</f>
        <v>69809.3</v>
      </c>
      <c r="F322" s="454">
        <f>F323+F331</f>
        <v>69807.3</v>
      </c>
      <c r="G322" s="558">
        <f t="shared" si="94"/>
        <v>0.99997135052206509</v>
      </c>
      <c r="H322" s="68"/>
    </row>
    <row r="323" spans="1:8" x14ac:dyDescent="0.25">
      <c r="A323" s="217" t="s">
        <v>181</v>
      </c>
      <c r="B323" s="226" t="s">
        <v>144</v>
      </c>
      <c r="C323" s="530"/>
      <c r="D323" s="26">
        <f>D324</f>
        <v>30482.3</v>
      </c>
      <c r="E323" s="26">
        <f>E324</f>
        <v>30482.3</v>
      </c>
      <c r="F323" s="26">
        <f>F324</f>
        <v>30482.2</v>
      </c>
      <c r="G323" s="559">
        <f t="shared" si="94"/>
        <v>0.99999671940765633</v>
      </c>
      <c r="H323" s="68"/>
    </row>
    <row r="324" spans="1:8" ht="47.25" x14ac:dyDescent="0.25">
      <c r="A324" s="217" t="s">
        <v>451</v>
      </c>
      <c r="B324" s="226" t="s">
        <v>143</v>
      </c>
      <c r="C324" s="530"/>
      <c r="D324" s="26">
        <f>D328+D325</f>
        <v>30482.3</v>
      </c>
      <c r="E324" s="26">
        <f>E328+E325</f>
        <v>30482.3</v>
      </c>
      <c r="F324" s="26">
        <f>F328+F325</f>
        <v>30482.2</v>
      </c>
      <c r="G324" s="559">
        <f t="shared" si="94"/>
        <v>0.99999671940765633</v>
      </c>
      <c r="H324" s="68"/>
    </row>
    <row r="325" spans="1:8" ht="31.5" x14ac:dyDescent="0.25">
      <c r="A325" s="271" t="s">
        <v>714</v>
      </c>
      <c r="B325" s="226" t="s">
        <v>715</v>
      </c>
      <c r="C325" s="457"/>
      <c r="D325" s="26">
        <f t="shared" ref="D325:F326" si="105">D326</f>
        <v>375.8</v>
      </c>
      <c r="E325" s="26">
        <f t="shared" si="105"/>
        <v>375.8</v>
      </c>
      <c r="F325" s="26">
        <f t="shared" si="105"/>
        <v>375.8</v>
      </c>
      <c r="G325" s="559">
        <f t="shared" si="94"/>
        <v>1</v>
      </c>
      <c r="H325" s="68"/>
    </row>
    <row r="326" spans="1:8" x14ac:dyDescent="0.25">
      <c r="A326" s="197" t="s">
        <v>98</v>
      </c>
      <c r="B326" s="226" t="s">
        <v>715</v>
      </c>
      <c r="C326" s="457">
        <v>300</v>
      </c>
      <c r="D326" s="26">
        <f t="shared" si="105"/>
        <v>375.8</v>
      </c>
      <c r="E326" s="26">
        <f t="shared" si="105"/>
        <v>375.8</v>
      </c>
      <c r="F326" s="26">
        <f t="shared" si="105"/>
        <v>375.8</v>
      </c>
      <c r="G326" s="559">
        <f t="shared" si="94"/>
        <v>1</v>
      </c>
      <c r="H326" s="68"/>
    </row>
    <row r="327" spans="1:8" x14ac:dyDescent="0.25">
      <c r="A327" s="197" t="s">
        <v>24</v>
      </c>
      <c r="B327" s="226" t="s">
        <v>715</v>
      </c>
      <c r="C327" s="457">
        <v>320</v>
      </c>
      <c r="D327" s="26">
        <f>'Функц. 2024-2026'!F840</f>
        <v>375.8</v>
      </c>
      <c r="E327" s="26">
        <f>'Функц. 2024-2026'!H840</f>
        <v>375.8</v>
      </c>
      <c r="F327" s="26">
        <f>'Функц. 2024-2026'!J840</f>
        <v>375.8</v>
      </c>
      <c r="G327" s="559">
        <f t="shared" si="94"/>
        <v>1</v>
      </c>
      <c r="H327" s="68"/>
    </row>
    <row r="328" spans="1:8" x14ac:dyDescent="0.25">
      <c r="A328" s="217" t="s">
        <v>179</v>
      </c>
      <c r="B328" s="226" t="s">
        <v>180</v>
      </c>
      <c r="C328" s="530"/>
      <c r="D328" s="26">
        <f t="shared" ref="D328:F329" si="106">D329</f>
        <v>30106.5</v>
      </c>
      <c r="E328" s="26">
        <f t="shared" si="106"/>
        <v>30106.5</v>
      </c>
      <c r="F328" s="26">
        <f t="shared" si="106"/>
        <v>30106.400000000001</v>
      </c>
      <c r="G328" s="559">
        <f t="shared" si="94"/>
        <v>0.99999667845814033</v>
      </c>
      <c r="H328" s="68"/>
    </row>
    <row r="329" spans="1:8" x14ac:dyDescent="0.25">
      <c r="A329" s="216" t="s">
        <v>98</v>
      </c>
      <c r="B329" s="226" t="s">
        <v>180</v>
      </c>
      <c r="C329" s="530">
        <v>300</v>
      </c>
      <c r="D329" s="26">
        <f t="shared" si="106"/>
        <v>30106.5</v>
      </c>
      <c r="E329" s="26">
        <f t="shared" si="106"/>
        <v>30106.5</v>
      </c>
      <c r="F329" s="26">
        <f t="shared" si="106"/>
        <v>30106.400000000001</v>
      </c>
      <c r="G329" s="559">
        <f t="shared" si="94"/>
        <v>0.99999667845814033</v>
      </c>
      <c r="H329" s="68"/>
    </row>
    <row r="330" spans="1:8" x14ac:dyDescent="0.25">
      <c r="A330" s="216" t="s">
        <v>24</v>
      </c>
      <c r="B330" s="226" t="s">
        <v>180</v>
      </c>
      <c r="C330" s="530">
        <v>320</v>
      </c>
      <c r="D330" s="26">
        <f>'Функц. 2024-2026'!F843</f>
        <v>30106.5</v>
      </c>
      <c r="E330" s="26">
        <f>'Функц. 2024-2026'!H843</f>
        <v>30106.5</v>
      </c>
      <c r="F330" s="26">
        <f>'Функц. 2024-2026'!J843</f>
        <v>30106.400000000001</v>
      </c>
      <c r="G330" s="559">
        <f t="shared" si="94"/>
        <v>0.99999667845814033</v>
      </c>
      <c r="H330" s="68"/>
    </row>
    <row r="331" spans="1:8" ht="31.5" x14ac:dyDescent="0.25">
      <c r="A331" s="269" t="s">
        <v>470</v>
      </c>
      <c r="B331" s="226" t="s">
        <v>147</v>
      </c>
      <c r="C331" s="547"/>
      <c r="D331" s="26">
        <f>D332</f>
        <v>39327</v>
      </c>
      <c r="E331" s="26">
        <f>E332</f>
        <v>39327</v>
      </c>
      <c r="F331" s="26">
        <f>F332</f>
        <v>39325.1</v>
      </c>
      <c r="G331" s="559">
        <f t="shared" ref="G331:G394" si="107">F331/E331</f>
        <v>0.99995168713606419</v>
      </c>
      <c r="H331" s="68"/>
    </row>
    <row r="332" spans="1:8" ht="47.25" x14ac:dyDescent="0.25">
      <c r="A332" s="269" t="s">
        <v>471</v>
      </c>
      <c r="B332" s="226" t="s">
        <v>146</v>
      </c>
      <c r="C332" s="530"/>
      <c r="D332" s="26">
        <f>D333+D336</f>
        <v>39327</v>
      </c>
      <c r="E332" s="26">
        <f>E333+E336</f>
        <v>39327</v>
      </c>
      <c r="F332" s="26">
        <f>F333+F336</f>
        <v>39325.1</v>
      </c>
      <c r="G332" s="559">
        <f t="shared" si="107"/>
        <v>0.99995168713606419</v>
      </c>
      <c r="H332" s="68"/>
    </row>
    <row r="333" spans="1:8" ht="31.5" x14ac:dyDescent="0.25">
      <c r="A333" s="217" t="s">
        <v>677</v>
      </c>
      <c r="B333" s="226" t="s">
        <v>145</v>
      </c>
      <c r="C333" s="530"/>
      <c r="D333" s="26">
        <f t="shared" ref="D333:F334" si="108">D334</f>
        <v>4825</v>
      </c>
      <c r="E333" s="26">
        <f t="shared" si="108"/>
        <v>4825</v>
      </c>
      <c r="F333" s="26">
        <f t="shared" si="108"/>
        <v>4824.5</v>
      </c>
      <c r="G333" s="559">
        <f t="shared" si="107"/>
        <v>0.99989637305699486</v>
      </c>
      <c r="H333" s="68"/>
    </row>
    <row r="334" spans="1:8" x14ac:dyDescent="0.25">
      <c r="A334" s="216" t="s">
        <v>23</v>
      </c>
      <c r="B334" s="285" t="s">
        <v>145</v>
      </c>
      <c r="C334" s="530">
        <v>400</v>
      </c>
      <c r="D334" s="26">
        <f t="shared" si="108"/>
        <v>4825</v>
      </c>
      <c r="E334" s="26">
        <f t="shared" si="108"/>
        <v>4825</v>
      </c>
      <c r="F334" s="26">
        <f t="shared" si="108"/>
        <v>4824.5</v>
      </c>
      <c r="G334" s="559">
        <f t="shared" si="107"/>
        <v>0.99989637305699486</v>
      </c>
      <c r="H334" s="68"/>
    </row>
    <row r="335" spans="1:8" x14ac:dyDescent="0.25">
      <c r="A335" s="216" t="s">
        <v>9</v>
      </c>
      <c r="B335" s="285" t="s">
        <v>145</v>
      </c>
      <c r="C335" s="530">
        <v>410</v>
      </c>
      <c r="D335" s="26">
        <f>'Функц. 2024-2026'!F848</f>
        <v>4825</v>
      </c>
      <c r="E335" s="26">
        <f>'Функц. 2024-2026'!H848</f>
        <v>4825</v>
      </c>
      <c r="F335" s="26">
        <f>'Функц. 2024-2026'!J848</f>
        <v>4824.5</v>
      </c>
      <c r="G335" s="559">
        <f t="shared" si="107"/>
        <v>0.99989637305699486</v>
      </c>
      <c r="H335" s="68"/>
    </row>
    <row r="336" spans="1:8" x14ac:dyDescent="0.25">
      <c r="A336" s="197" t="s">
        <v>690</v>
      </c>
      <c r="B336" s="285" t="s">
        <v>689</v>
      </c>
      <c r="C336" s="457"/>
      <c r="D336" s="26">
        <f t="shared" ref="D336:F337" si="109">D337</f>
        <v>34502</v>
      </c>
      <c r="E336" s="26">
        <f t="shared" si="109"/>
        <v>34502</v>
      </c>
      <c r="F336" s="26">
        <f t="shared" si="109"/>
        <v>34500.6</v>
      </c>
      <c r="G336" s="559">
        <f t="shared" si="107"/>
        <v>0.99995942264216564</v>
      </c>
      <c r="H336" s="68"/>
    </row>
    <row r="337" spans="1:31" x14ac:dyDescent="0.25">
      <c r="A337" s="197" t="s">
        <v>98</v>
      </c>
      <c r="B337" s="285" t="s">
        <v>689</v>
      </c>
      <c r="C337" s="457">
        <v>300</v>
      </c>
      <c r="D337" s="26">
        <f t="shared" si="109"/>
        <v>34502</v>
      </c>
      <c r="E337" s="26">
        <f t="shared" si="109"/>
        <v>34502</v>
      </c>
      <c r="F337" s="26">
        <f t="shared" si="109"/>
        <v>34500.6</v>
      </c>
      <c r="G337" s="559">
        <f t="shared" si="107"/>
        <v>0.99995942264216564</v>
      </c>
      <c r="H337" s="68"/>
    </row>
    <row r="338" spans="1:31" x14ac:dyDescent="0.25">
      <c r="A338" s="197" t="s">
        <v>40</v>
      </c>
      <c r="B338" s="285" t="s">
        <v>689</v>
      </c>
      <c r="C338" s="457">
        <v>320</v>
      </c>
      <c r="D338" s="26">
        <f>'Функц. 2024-2026'!F851</f>
        <v>34502</v>
      </c>
      <c r="E338" s="26">
        <f>'Функц. 2024-2026'!H851</f>
        <v>34502</v>
      </c>
      <c r="F338" s="26">
        <f>'Функц. 2024-2026'!J851</f>
        <v>34500.6</v>
      </c>
      <c r="G338" s="559">
        <f t="shared" si="107"/>
        <v>0.99995942264216564</v>
      </c>
      <c r="H338" s="68"/>
    </row>
    <row r="339" spans="1:31" s="104" customFormat="1" ht="31.5" x14ac:dyDescent="0.25">
      <c r="A339" s="291" t="s">
        <v>629</v>
      </c>
      <c r="B339" s="323" t="s">
        <v>112</v>
      </c>
      <c r="C339" s="530"/>
      <c r="D339" s="454">
        <f>D346+D340</f>
        <v>1717401.9</v>
      </c>
      <c r="E339" s="454">
        <f>E346+E340</f>
        <v>1712610.9</v>
      </c>
      <c r="F339" s="454">
        <f>F346+F340</f>
        <v>1680576.7</v>
      </c>
      <c r="G339" s="558">
        <f t="shared" si="107"/>
        <v>0.98129510912256834</v>
      </c>
      <c r="H339" s="68"/>
    </row>
    <row r="340" spans="1:31" s="104" customFormat="1" x14ac:dyDescent="0.25">
      <c r="A340" s="199" t="s">
        <v>632</v>
      </c>
      <c r="B340" s="226" t="s">
        <v>633</v>
      </c>
      <c r="C340" s="530"/>
      <c r="D340" s="26">
        <f>D341</f>
        <v>1356927</v>
      </c>
      <c r="E340" s="26">
        <f t="shared" ref="E340:F344" si="110">E341</f>
        <v>1356927</v>
      </c>
      <c r="F340" s="26">
        <f t="shared" si="110"/>
        <v>1356927</v>
      </c>
      <c r="G340" s="559">
        <f t="shared" si="107"/>
        <v>1</v>
      </c>
      <c r="H340" s="68"/>
    </row>
    <row r="341" spans="1:31" s="104" customFormat="1" x14ac:dyDescent="0.25">
      <c r="A341" s="200" t="s">
        <v>634</v>
      </c>
      <c r="B341" s="226" t="s">
        <v>635</v>
      </c>
      <c r="C341" s="537"/>
      <c r="D341" s="26">
        <f>D342</f>
        <v>1356927</v>
      </c>
      <c r="E341" s="26">
        <f t="shared" si="110"/>
        <v>1356927</v>
      </c>
      <c r="F341" s="26">
        <f t="shared" si="110"/>
        <v>1356927</v>
      </c>
      <c r="G341" s="559">
        <f t="shared" si="107"/>
        <v>1</v>
      </c>
      <c r="H341" s="68"/>
    </row>
    <row r="342" spans="1:31" s="104" customFormat="1" x14ac:dyDescent="0.25">
      <c r="A342" s="200" t="s">
        <v>636</v>
      </c>
      <c r="B342" s="226" t="s">
        <v>637</v>
      </c>
      <c r="C342" s="537"/>
      <c r="D342" s="26">
        <f>D343</f>
        <v>1356927</v>
      </c>
      <c r="E342" s="26">
        <f t="shared" si="110"/>
        <v>1356927</v>
      </c>
      <c r="F342" s="26">
        <f t="shared" si="110"/>
        <v>1356927</v>
      </c>
      <c r="G342" s="559">
        <f t="shared" si="107"/>
        <v>1</v>
      </c>
      <c r="H342" s="68"/>
    </row>
    <row r="343" spans="1:31" s="104" customFormat="1" ht="31.5" x14ac:dyDescent="0.25">
      <c r="A343" s="200" t="s">
        <v>638</v>
      </c>
      <c r="B343" s="226" t="s">
        <v>639</v>
      </c>
      <c r="C343" s="537"/>
      <c r="D343" s="26">
        <f>D344</f>
        <v>1356927</v>
      </c>
      <c r="E343" s="26">
        <f t="shared" si="110"/>
        <v>1356927</v>
      </c>
      <c r="F343" s="26">
        <f t="shared" si="110"/>
        <v>1356927</v>
      </c>
      <c r="G343" s="559">
        <f t="shared" si="107"/>
        <v>1</v>
      </c>
      <c r="H343" s="68"/>
    </row>
    <row r="344" spans="1:31" s="104" customFormat="1" x14ac:dyDescent="0.25">
      <c r="A344" s="197" t="s">
        <v>154</v>
      </c>
      <c r="B344" s="226" t="s">
        <v>639</v>
      </c>
      <c r="C344" s="537" t="s">
        <v>155</v>
      </c>
      <c r="D344" s="26">
        <f>D345</f>
        <v>1356927</v>
      </c>
      <c r="E344" s="26">
        <f t="shared" si="110"/>
        <v>1356927</v>
      </c>
      <c r="F344" s="26">
        <f t="shared" si="110"/>
        <v>1356927</v>
      </c>
      <c r="G344" s="559">
        <f t="shared" si="107"/>
        <v>1</v>
      </c>
      <c r="H344" s="68"/>
    </row>
    <row r="345" spans="1:31" s="104" customFormat="1" x14ac:dyDescent="0.25">
      <c r="A345" s="197" t="s">
        <v>9</v>
      </c>
      <c r="B345" s="226" t="s">
        <v>639</v>
      </c>
      <c r="C345" s="537" t="s">
        <v>156</v>
      </c>
      <c r="D345" s="26">
        <f>'Функц. 2024-2026'!F547</f>
        <v>1356927</v>
      </c>
      <c r="E345" s="26">
        <f>'Функц. 2024-2026'!H547</f>
        <v>1356927</v>
      </c>
      <c r="F345" s="26">
        <f>'Функц. 2024-2026'!J547</f>
        <v>1356927</v>
      </c>
      <c r="G345" s="559">
        <f t="shared" si="107"/>
        <v>1</v>
      </c>
      <c r="H345" s="68"/>
    </row>
    <row r="346" spans="1:31" s="104" customFormat="1" x14ac:dyDescent="0.25">
      <c r="A346" s="197" t="s">
        <v>567</v>
      </c>
      <c r="B346" s="226" t="s">
        <v>413</v>
      </c>
      <c r="C346" s="537"/>
      <c r="D346" s="26">
        <f>D347+D358</f>
        <v>360474.9</v>
      </c>
      <c r="E346" s="26">
        <f>E347+E358</f>
        <v>355683.9</v>
      </c>
      <c r="F346" s="26">
        <f>F347+F358</f>
        <v>323649.69999999995</v>
      </c>
      <c r="G346" s="559">
        <f t="shared" si="107"/>
        <v>0.90993632267302493</v>
      </c>
      <c r="H346" s="68"/>
    </row>
    <row r="347" spans="1:31" s="104" customFormat="1" ht="31.5" x14ac:dyDescent="0.25">
      <c r="A347" s="197" t="s">
        <v>474</v>
      </c>
      <c r="B347" s="328" t="s">
        <v>473</v>
      </c>
      <c r="C347" s="537"/>
      <c r="D347" s="26">
        <f>D354+D351+D348</f>
        <v>169718.39999999999</v>
      </c>
      <c r="E347" s="26">
        <f t="shared" ref="E347:F347" si="111">E354+E351+E348</f>
        <v>169718.5</v>
      </c>
      <c r="F347" s="26">
        <f t="shared" si="111"/>
        <v>158785.79999999999</v>
      </c>
      <c r="G347" s="559">
        <f t="shared" si="107"/>
        <v>0.93558333357883783</v>
      </c>
      <c r="H347" s="68"/>
    </row>
    <row r="348" spans="1:31" s="104" customFormat="1" ht="31.5" x14ac:dyDescent="0.25">
      <c r="A348" s="347" t="s">
        <v>825</v>
      </c>
      <c r="B348" s="432" t="s">
        <v>826</v>
      </c>
      <c r="C348" s="551"/>
      <c r="D348" s="26">
        <f>D349</f>
        <v>0</v>
      </c>
      <c r="E348" s="26">
        <f t="shared" ref="E348:F349" si="112">E349</f>
        <v>0.1</v>
      </c>
      <c r="F348" s="26">
        <f t="shared" si="112"/>
        <v>0</v>
      </c>
      <c r="G348" s="559">
        <f t="shared" si="107"/>
        <v>0</v>
      </c>
      <c r="H348" s="68"/>
    </row>
    <row r="349" spans="1:31" s="104" customFormat="1" x14ac:dyDescent="0.25">
      <c r="A349" s="347" t="s">
        <v>121</v>
      </c>
      <c r="B349" s="432" t="s">
        <v>826</v>
      </c>
      <c r="C349" s="551" t="s">
        <v>37</v>
      </c>
      <c r="D349" s="26">
        <f>D350</f>
        <v>0</v>
      </c>
      <c r="E349" s="26">
        <f t="shared" si="112"/>
        <v>0.1</v>
      </c>
      <c r="F349" s="26">
        <f t="shared" si="112"/>
        <v>0</v>
      </c>
      <c r="G349" s="559">
        <f t="shared" si="107"/>
        <v>0</v>
      </c>
      <c r="H349" s="68"/>
    </row>
    <row r="350" spans="1:31" s="104" customFormat="1" x14ac:dyDescent="0.25">
      <c r="A350" s="347" t="s">
        <v>52</v>
      </c>
      <c r="B350" s="432" t="s">
        <v>826</v>
      </c>
      <c r="C350" s="551" t="s">
        <v>66</v>
      </c>
      <c r="D350" s="26">
        <f>'Функц. 2024-2026'!F398</f>
        <v>0</v>
      </c>
      <c r="E350" s="26">
        <f>'Функц. 2024-2026'!H398</f>
        <v>0.1</v>
      </c>
      <c r="F350" s="26">
        <f>'Функц. 2024-2026'!J398</f>
        <v>0</v>
      </c>
      <c r="G350" s="559">
        <f t="shared" si="107"/>
        <v>0</v>
      </c>
      <c r="H350" s="68"/>
    </row>
    <row r="351" spans="1:31" s="104" customFormat="1" x14ac:dyDescent="0.25">
      <c r="A351" s="197" t="s">
        <v>748</v>
      </c>
      <c r="B351" s="283" t="s">
        <v>749</v>
      </c>
      <c r="C351" s="536"/>
      <c r="D351" s="26">
        <f>D352</f>
        <v>10138.5</v>
      </c>
      <c r="E351" s="26">
        <f t="shared" ref="E351:AE352" si="113">E352</f>
        <v>10138.5</v>
      </c>
      <c r="F351" s="26">
        <f t="shared" si="113"/>
        <v>10138.5</v>
      </c>
      <c r="G351" s="559">
        <f t="shared" si="107"/>
        <v>1</v>
      </c>
      <c r="H351" s="26">
        <f t="shared" si="113"/>
        <v>0</v>
      </c>
      <c r="I351" s="26">
        <f t="shared" si="113"/>
        <v>0</v>
      </c>
      <c r="J351" s="26">
        <f t="shared" si="113"/>
        <v>0</v>
      </c>
      <c r="K351" s="26">
        <f t="shared" si="113"/>
        <v>0</v>
      </c>
      <c r="L351" s="26">
        <f t="shared" si="113"/>
        <v>0</v>
      </c>
      <c r="M351" s="26">
        <f t="shared" si="113"/>
        <v>0</v>
      </c>
      <c r="N351" s="26">
        <f t="shared" si="113"/>
        <v>0</v>
      </c>
      <c r="O351" s="26">
        <f t="shared" si="113"/>
        <v>0</v>
      </c>
      <c r="P351" s="26">
        <f t="shared" si="113"/>
        <v>0</v>
      </c>
      <c r="Q351" s="26">
        <f t="shared" si="113"/>
        <v>0</v>
      </c>
      <c r="R351" s="26">
        <f t="shared" si="113"/>
        <v>0</v>
      </c>
      <c r="S351" s="26">
        <f t="shared" si="113"/>
        <v>0</v>
      </c>
      <c r="T351" s="26">
        <f t="shared" si="113"/>
        <v>0</v>
      </c>
      <c r="U351" s="26">
        <f t="shared" si="113"/>
        <v>0</v>
      </c>
      <c r="V351" s="26">
        <f t="shared" si="113"/>
        <v>0</v>
      </c>
      <c r="W351" s="26">
        <f t="shared" si="113"/>
        <v>0</v>
      </c>
      <c r="X351" s="26">
        <f t="shared" si="113"/>
        <v>0</v>
      </c>
      <c r="Y351" s="26">
        <f t="shared" si="113"/>
        <v>0</v>
      </c>
      <c r="Z351" s="26">
        <f t="shared" si="113"/>
        <v>0</v>
      </c>
      <c r="AA351" s="26">
        <f t="shared" si="113"/>
        <v>0</v>
      </c>
      <c r="AB351" s="26">
        <f t="shared" si="113"/>
        <v>0</v>
      </c>
      <c r="AC351" s="26">
        <f t="shared" si="113"/>
        <v>0</v>
      </c>
      <c r="AD351" s="26">
        <f t="shared" si="113"/>
        <v>0</v>
      </c>
      <c r="AE351" s="489">
        <f t="shared" si="113"/>
        <v>0</v>
      </c>
    </row>
    <row r="352" spans="1:31" s="104" customFormat="1" x14ac:dyDescent="0.25">
      <c r="A352" s="197" t="s">
        <v>121</v>
      </c>
      <c r="B352" s="283" t="s">
        <v>749</v>
      </c>
      <c r="C352" s="536" t="s">
        <v>37</v>
      </c>
      <c r="D352" s="26">
        <f>D353</f>
        <v>10138.5</v>
      </c>
      <c r="E352" s="26">
        <f t="shared" si="113"/>
        <v>10138.5</v>
      </c>
      <c r="F352" s="26">
        <f t="shared" si="113"/>
        <v>10138.5</v>
      </c>
      <c r="G352" s="559">
        <f t="shared" si="107"/>
        <v>1</v>
      </c>
      <c r="H352" s="68"/>
    </row>
    <row r="353" spans="1:8" s="104" customFormat="1" x14ac:dyDescent="0.25">
      <c r="A353" s="197" t="s">
        <v>52</v>
      </c>
      <c r="B353" s="283" t="s">
        <v>749</v>
      </c>
      <c r="C353" s="536" t="s">
        <v>66</v>
      </c>
      <c r="D353" s="26">
        <f>'Функц. 2024-2026'!F401</f>
        <v>10138.5</v>
      </c>
      <c r="E353" s="26">
        <f>'Функц. 2024-2026'!H401</f>
        <v>10138.5</v>
      </c>
      <c r="F353" s="26">
        <f>'Функц. 2024-2026'!J401</f>
        <v>10138.5</v>
      </c>
      <c r="G353" s="559">
        <f t="shared" si="107"/>
        <v>1</v>
      </c>
      <c r="H353" s="68"/>
    </row>
    <row r="354" spans="1:8" s="104" customFormat="1" x14ac:dyDescent="0.25">
      <c r="A354" s="197" t="s">
        <v>590</v>
      </c>
      <c r="B354" s="329" t="s">
        <v>591</v>
      </c>
      <c r="C354" s="537"/>
      <c r="D354" s="26">
        <f t="shared" ref="D354:F356" si="114">D355</f>
        <v>159579.9</v>
      </c>
      <c r="E354" s="26">
        <f t="shared" si="114"/>
        <v>159579.9</v>
      </c>
      <c r="F354" s="26">
        <f t="shared" si="114"/>
        <v>148647.29999999999</v>
      </c>
      <c r="G354" s="559">
        <f t="shared" si="107"/>
        <v>0.93149137203369592</v>
      </c>
      <c r="H354" s="68"/>
    </row>
    <row r="355" spans="1:8" s="104" customFormat="1" ht="31.5" x14ac:dyDescent="0.25">
      <c r="A355" s="270" t="s">
        <v>623</v>
      </c>
      <c r="B355" s="329" t="s">
        <v>622</v>
      </c>
      <c r="C355" s="537"/>
      <c r="D355" s="26">
        <f t="shared" si="114"/>
        <v>159579.9</v>
      </c>
      <c r="E355" s="26">
        <f t="shared" si="114"/>
        <v>159579.9</v>
      </c>
      <c r="F355" s="26">
        <f t="shared" si="114"/>
        <v>148647.29999999999</v>
      </c>
      <c r="G355" s="559">
        <f t="shared" si="107"/>
        <v>0.93149137203369592</v>
      </c>
      <c r="H355" s="68"/>
    </row>
    <row r="356" spans="1:8" s="104" customFormat="1" x14ac:dyDescent="0.25">
      <c r="A356" s="270" t="s">
        <v>443</v>
      </c>
      <c r="B356" s="329" t="s">
        <v>622</v>
      </c>
      <c r="C356" s="537" t="s">
        <v>155</v>
      </c>
      <c r="D356" s="26">
        <f t="shared" si="114"/>
        <v>159579.9</v>
      </c>
      <c r="E356" s="26">
        <f t="shared" si="114"/>
        <v>159579.9</v>
      </c>
      <c r="F356" s="26">
        <f t="shared" si="114"/>
        <v>148647.29999999999</v>
      </c>
      <c r="G356" s="559">
        <f t="shared" si="107"/>
        <v>0.93149137203369592</v>
      </c>
      <c r="H356" s="68"/>
    </row>
    <row r="357" spans="1:8" s="104" customFormat="1" x14ac:dyDescent="0.25">
      <c r="A357" s="197" t="s">
        <v>9</v>
      </c>
      <c r="B357" s="329" t="s">
        <v>622</v>
      </c>
      <c r="C357" s="537" t="s">
        <v>156</v>
      </c>
      <c r="D357" s="26">
        <f>'Функц. 2024-2026'!F405</f>
        <v>159579.9</v>
      </c>
      <c r="E357" s="26">
        <f>'Функц. 2024-2026'!H405</f>
        <v>159579.9</v>
      </c>
      <c r="F357" s="26">
        <f>'Функц. 2024-2026'!J405</f>
        <v>148647.29999999999</v>
      </c>
      <c r="G357" s="559">
        <f t="shared" si="107"/>
        <v>0.93149137203369592</v>
      </c>
      <c r="H357" s="68"/>
    </row>
    <row r="358" spans="1:8" s="104" customFormat="1" ht="31.5" x14ac:dyDescent="0.25">
      <c r="A358" s="197" t="s">
        <v>695</v>
      </c>
      <c r="B358" s="226" t="s">
        <v>696</v>
      </c>
      <c r="C358" s="536"/>
      <c r="D358" s="26">
        <f>D368+D365+D362+D359</f>
        <v>190756.5</v>
      </c>
      <c r="E358" s="26">
        <f t="shared" ref="E358:F358" si="115">E368+E365+E362+E359</f>
        <v>185965.40000000002</v>
      </c>
      <c r="F358" s="26">
        <f t="shared" si="115"/>
        <v>164863.9</v>
      </c>
      <c r="G358" s="559">
        <f t="shared" si="107"/>
        <v>0.8865299674025382</v>
      </c>
      <c r="H358" s="68"/>
    </row>
    <row r="359" spans="1:8" s="104" customFormat="1" ht="31.5" x14ac:dyDescent="0.25">
      <c r="A359" s="347" t="s">
        <v>827</v>
      </c>
      <c r="B359" s="355" t="s">
        <v>828</v>
      </c>
      <c r="C359" s="551"/>
      <c r="D359" s="26">
        <f>D360</f>
        <v>0</v>
      </c>
      <c r="E359" s="26">
        <f t="shared" ref="E359:F360" si="116">E360</f>
        <v>0.1</v>
      </c>
      <c r="F359" s="26">
        <f t="shared" si="116"/>
        <v>0</v>
      </c>
      <c r="G359" s="559">
        <f t="shared" si="107"/>
        <v>0</v>
      </c>
      <c r="H359" s="68"/>
    </row>
    <row r="360" spans="1:8" s="104" customFormat="1" x14ac:dyDescent="0.25">
      <c r="A360" s="347" t="s">
        <v>121</v>
      </c>
      <c r="B360" s="355" t="s">
        <v>828</v>
      </c>
      <c r="C360" s="551" t="s">
        <v>37</v>
      </c>
      <c r="D360" s="26">
        <f>D361</f>
        <v>0</v>
      </c>
      <c r="E360" s="26">
        <f t="shared" si="116"/>
        <v>0.1</v>
      </c>
      <c r="F360" s="26">
        <f t="shared" si="116"/>
        <v>0</v>
      </c>
      <c r="G360" s="559">
        <f t="shared" si="107"/>
        <v>0</v>
      </c>
      <c r="H360" s="68"/>
    </row>
    <row r="361" spans="1:8" s="104" customFormat="1" x14ac:dyDescent="0.25">
      <c r="A361" s="347" t="s">
        <v>52</v>
      </c>
      <c r="B361" s="355" t="s">
        <v>828</v>
      </c>
      <c r="C361" s="551" t="s">
        <v>66</v>
      </c>
      <c r="D361" s="26">
        <f>'Функц. 2024-2026'!F409</f>
        <v>0</v>
      </c>
      <c r="E361" s="26">
        <f>'Функц. 2024-2026'!H409</f>
        <v>0.1</v>
      </c>
      <c r="F361" s="26">
        <f>'Функц. 2024-2026'!J409</f>
        <v>0</v>
      </c>
      <c r="G361" s="559">
        <f t="shared" si="107"/>
        <v>0</v>
      </c>
      <c r="H361" s="68"/>
    </row>
    <row r="362" spans="1:8" s="104" customFormat="1" ht="31.5" x14ac:dyDescent="0.25">
      <c r="A362" s="347" t="s">
        <v>769</v>
      </c>
      <c r="B362" s="355" t="s">
        <v>770</v>
      </c>
      <c r="C362" s="536"/>
      <c r="D362" s="26">
        <f t="shared" ref="D362:F363" si="117">D363</f>
        <v>103038.70000000001</v>
      </c>
      <c r="E362" s="26">
        <f t="shared" si="117"/>
        <v>103038.70000000001</v>
      </c>
      <c r="F362" s="26">
        <f t="shared" si="117"/>
        <v>97395.5</v>
      </c>
      <c r="G362" s="559">
        <f t="shared" si="107"/>
        <v>0.94523222827927744</v>
      </c>
      <c r="H362" s="68"/>
    </row>
    <row r="363" spans="1:8" s="104" customFormat="1" x14ac:dyDescent="0.25">
      <c r="A363" s="197" t="s">
        <v>121</v>
      </c>
      <c r="B363" s="355" t="s">
        <v>770</v>
      </c>
      <c r="C363" s="536" t="s">
        <v>37</v>
      </c>
      <c r="D363" s="26">
        <f t="shared" si="117"/>
        <v>103038.70000000001</v>
      </c>
      <c r="E363" s="26">
        <f t="shared" si="117"/>
        <v>103038.70000000001</v>
      </c>
      <c r="F363" s="26">
        <f t="shared" si="117"/>
        <v>97395.5</v>
      </c>
      <c r="G363" s="559">
        <f t="shared" si="107"/>
        <v>0.94523222827927744</v>
      </c>
      <c r="H363" s="68"/>
    </row>
    <row r="364" spans="1:8" s="104" customFormat="1" x14ac:dyDescent="0.25">
      <c r="A364" s="197" t="s">
        <v>52</v>
      </c>
      <c r="B364" s="355" t="s">
        <v>770</v>
      </c>
      <c r="C364" s="536" t="s">
        <v>66</v>
      </c>
      <c r="D364" s="26">
        <f>'Функц. 2024-2026'!F412</f>
        <v>103038.70000000001</v>
      </c>
      <c r="E364" s="26">
        <f>'Функц. 2024-2026'!H412</f>
        <v>103038.70000000001</v>
      </c>
      <c r="F364" s="26">
        <f>'Функц. 2024-2026'!J412</f>
        <v>97395.5</v>
      </c>
      <c r="G364" s="559">
        <f t="shared" si="107"/>
        <v>0.94523222827927744</v>
      </c>
      <c r="H364" s="68"/>
    </row>
    <row r="365" spans="1:8" s="104" customFormat="1" ht="31.5" x14ac:dyDescent="0.25">
      <c r="A365" s="197" t="s">
        <v>750</v>
      </c>
      <c r="B365" s="283" t="s">
        <v>752</v>
      </c>
      <c r="C365" s="536"/>
      <c r="D365" s="26">
        <f t="shared" ref="D365:F366" si="118">D366</f>
        <v>22554.6</v>
      </c>
      <c r="E365" s="26">
        <f t="shared" si="118"/>
        <v>22554.6</v>
      </c>
      <c r="F365" s="26">
        <f t="shared" si="118"/>
        <v>22387.3</v>
      </c>
      <c r="G365" s="559">
        <f t="shared" si="107"/>
        <v>0.99258244437941712</v>
      </c>
      <c r="H365" s="68"/>
    </row>
    <row r="366" spans="1:8" s="104" customFormat="1" x14ac:dyDescent="0.25">
      <c r="A366" s="197" t="s">
        <v>121</v>
      </c>
      <c r="B366" s="283" t="s">
        <v>752</v>
      </c>
      <c r="C366" s="536" t="s">
        <v>37</v>
      </c>
      <c r="D366" s="26">
        <f t="shared" si="118"/>
        <v>22554.6</v>
      </c>
      <c r="E366" s="26">
        <f t="shared" si="118"/>
        <v>22554.6</v>
      </c>
      <c r="F366" s="26">
        <f t="shared" si="118"/>
        <v>22387.3</v>
      </c>
      <c r="G366" s="559">
        <f t="shared" si="107"/>
        <v>0.99258244437941712</v>
      </c>
      <c r="H366" s="68"/>
    </row>
    <row r="367" spans="1:8" s="104" customFormat="1" x14ac:dyDescent="0.25">
      <c r="A367" s="197" t="s">
        <v>52</v>
      </c>
      <c r="B367" s="283" t="s">
        <v>752</v>
      </c>
      <c r="C367" s="536" t="s">
        <v>66</v>
      </c>
      <c r="D367" s="26">
        <f>'Функц. 2024-2026'!F415</f>
        <v>22554.6</v>
      </c>
      <c r="E367" s="26">
        <f>'Функц. 2024-2026'!H415</f>
        <v>22554.6</v>
      </c>
      <c r="F367" s="26">
        <f>'Функц. 2024-2026'!J415</f>
        <v>22387.3</v>
      </c>
      <c r="G367" s="559">
        <f t="shared" si="107"/>
        <v>0.99258244437941712</v>
      </c>
      <c r="H367" s="68"/>
    </row>
    <row r="368" spans="1:8" s="104" customFormat="1" x14ac:dyDescent="0.25">
      <c r="A368" s="197" t="s">
        <v>732</v>
      </c>
      <c r="B368" s="226" t="s">
        <v>733</v>
      </c>
      <c r="C368" s="536"/>
      <c r="D368" s="26">
        <f t="shared" ref="D368:F369" si="119">D369</f>
        <v>65163.199999999997</v>
      </c>
      <c r="E368" s="26">
        <f t="shared" si="119"/>
        <v>60372</v>
      </c>
      <c r="F368" s="26">
        <f t="shared" si="119"/>
        <v>45081.1</v>
      </c>
      <c r="G368" s="559">
        <f t="shared" si="107"/>
        <v>0.74672199032664144</v>
      </c>
      <c r="H368" s="68"/>
    </row>
    <row r="369" spans="1:31" s="104" customFormat="1" x14ac:dyDescent="0.25">
      <c r="A369" s="197" t="s">
        <v>121</v>
      </c>
      <c r="B369" s="226" t="s">
        <v>733</v>
      </c>
      <c r="C369" s="536" t="s">
        <v>37</v>
      </c>
      <c r="D369" s="26">
        <f t="shared" si="119"/>
        <v>65163.199999999997</v>
      </c>
      <c r="E369" s="26">
        <f t="shared" si="119"/>
        <v>60372</v>
      </c>
      <c r="F369" s="26">
        <f t="shared" si="119"/>
        <v>45081.1</v>
      </c>
      <c r="G369" s="559">
        <f t="shared" si="107"/>
        <v>0.74672199032664144</v>
      </c>
      <c r="H369" s="68"/>
    </row>
    <row r="370" spans="1:31" s="104" customFormat="1" x14ac:dyDescent="0.25">
      <c r="A370" s="197" t="s">
        <v>52</v>
      </c>
      <c r="B370" s="226" t="s">
        <v>733</v>
      </c>
      <c r="C370" s="536" t="s">
        <v>66</v>
      </c>
      <c r="D370" s="26">
        <f>'Функц. 2024-2026'!F418</f>
        <v>65163.199999999997</v>
      </c>
      <c r="E370" s="26">
        <f>'Функц. 2024-2026'!H418</f>
        <v>60372</v>
      </c>
      <c r="F370" s="26">
        <f>'Функц. 2024-2026'!J418</f>
        <v>45081.1</v>
      </c>
      <c r="G370" s="559">
        <f t="shared" si="107"/>
        <v>0.74672199032664144</v>
      </c>
      <c r="H370" s="68"/>
    </row>
    <row r="371" spans="1:31" s="104" customFormat="1" x14ac:dyDescent="0.25">
      <c r="A371" s="455" t="s">
        <v>784</v>
      </c>
      <c r="B371" s="456" t="s">
        <v>785</v>
      </c>
      <c r="C371" s="542"/>
      <c r="D371" s="454">
        <f>D372</f>
        <v>500</v>
      </c>
      <c r="E371" s="454">
        <f t="shared" ref="E371:F375" si="120">E372</f>
        <v>500</v>
      </c>
      <c r="F371" s="454">
        <f t="shared" si="120"/>
        <v>500</v>
      </c>
      <c r="G371" s="558">
        <f t="shared" si="107"/>
        <v>1</v>
      </c>
      <c r="H371" s="68"/>
    </row>
    <row r="372" spans="1:31" s="104" customFormat="1" x14ac:dyDescent="0.25">
      <c r="A372" s="197" t="s">
        <v>786</v>
      </c>
      <c r="B372" s="453" t="s">
        <v>787</v>
      </c>
      <c r="C372" s="530"/>
      <c r="D372" s="26">
        <f>D373</f>
        <v>500</v>
      </c>
      <c r="E372" s="26">
        <f t="shared" si="120"/>
        <v>500</v>
      </c>
      <c r="F372" s="26">
        <f t="shared" si="120"/>
        <v>500</v>
      </c>
      <c r="G372" s="559">
        <f t="shared" si="107"/>
        <v>1</v>
      </c>
      <c r="H372" s="26">
        <f t="shared" ref="H372:AE372" si="121">H373</f>
        <v>0</v>
      </c>
      <c r="I372" s="26">
        <f t="shared" si="121"/>
        <v>0</v>
      </c>
      <c r="J372" s="26">
        <f t="shared" si="121"/>
        <v>0</v>
      </c>
      <c r="K372" s="26">
        <f t="shared" si="121"/>
        <v>0</v>
      </c>
      <c r="L372" s="26">
        <f t="shared" si="121"/>
        <v>0</v>
      </c>
      <c r="M372" s="26">
        <f t="shared" si="121"/>
        <v>0</v>
      </c>
      <c r="N372" s="26">
        <f t="shared" si="121"/>
        <v>0</v>
      </c>
      <c r="O372" s="26">
        <f t="shared" si="121"/>
        <v>0</v>
      </c>
      <c r="P372" s="26">
        <f t="shared" si="121"/>
        <v>0</v>
      </c>
      <c r="Q372" s="26">
        <f t="shared" si="121"/>
        <v>0</v>
      </c>
      <c r="R372" s="26">
        <f t="shared" si="121"/>
        <v>0</v>
      </c>
      <c r="S372" s="26">
        <f t="shared" si="121"/>
        <v>0</v>
      </c>
      <c r="T372" s="26">
        <f t="shared" si="121"/>
        <v>0</v>
      </c>
      <c r="U372" s="26">
        <f t="shared" si="121"/>
        <v>0</v>
      </c>
      <c r="V372" s="26">
        <f t="shared" si="121"/>
        <v>0</v>
      </c>
      <c r="W372" s="26">
        <f t="shared" si="121"/>
        <v>0</v>
      </c>
      <c r="X372" s="26">
        <f t="shared" si="121"/>
        <v>0</v>
      </c>
      <c r="Y372" s="26">
        <f t="shared" si="121"/>
        <v>0</v>
      </c>
      <c r="Z372" s="26">
        <f t="shared" si="121"/>
        <v>0</v>
      </c>
      <c r="AA372" s="26">
        <f t="shared" si="121"/>
        <v>0</v>
      </c>
      <c r="AB372" s="26">
        <f t="shared" si="121"/>
        <v>0</v>
      </c>
      <c r="AC372" s="26">
        <f t="shared" si="121"/>
        <v>0</v>
      </c>
      <c r="AD372" s="26">
        <f t="shared" si="121"/>
        <v>0</v>
      </c>
      <c r="AE372" s="489">
        <f t="shared" si="121"/>
        <v>0</v>
      </c>
    </row>
    <row r="373" spans="1:31" s="104" customFormat="1" ht="31.5" x14ac:dyDescent="0.25">
      <c r="A373" s="197" t="s">
        <v>788</v>
      </c>
      <c r="B373" s="453" t="s">
        <v>789</v>
      </c>
      <c r="C373" s="530"/>
      <c r="D373" s="26">
        <f>D374</f>
        <v>500</v>
      </c>
      <c r="E373" s="26">
        <f t="shared" si="120"/>
        <v>500</v>
      </c>
      <c r="F373" s="26">
        <f t="shared" si="120"/>
        <v>500</v>
      </c>
      <c r="G373" s="559">
        <f t="shared" si="107"/>
        <v>1</v>
      </c>
      <c r="H373" s="68"/>
    </row>
    <row r="374" spans="1:31" s="104" customFormat="1" x14ac:dyDescent="0.25">
      <c r="A374" s="197" t="s">
        <v>790</v>
      </c>
      <c r="B374" s="453" t="s">
        <v>791</v>
      </c>
      <c r="C374" s="530"/>
      <c r="D374" s="26">
        <f>D375</f>
        <v>500</v>
      </c>
      <c r="E374" s="26">
        <f t="shared" si="120"/>
        <v>500</v>
      </c>
      <c r="F374" s="26">
        <f t="shared" si="120"/>
        <v>500</v>
      </c>
      <c r="G374" s="559">
        <f t="shared" si="107"/>
        <v>1</v>
      </c>
      <c r="H374" s="68"/>
    </row>
    <row r="375" spans="1:31" s="104" customFormat="1" x14ac:dyDescent="0.25">
      <c r="A375" s="197" t="s">
        <v>42</v>
      </c>
      <c r="B375" s="453" t="s">
        <v>791</v>
      </c>
      <c r="C375" s="530">
        <v>800</v>
      </c>
      <c r="D375" s="26">
        <f>D376</f>
        <v>500</v>
      </c>
      <c r="E375" s="26">
        <f t="shared" si="120"/>
        <v>500</v>
      </c>
      <c r="F375" s="26">
        <f t="shared" si="120"/>
        <v>500</v>
      </c>
      <c r="G375" s="559">
        <f t="shared" si="107"/>
        <v>1</v>
      </c>
      <c r="H375" s="68"/>
    </row>
    <row r="376" spans="1:31" s="104" customFormat="1" ht="31.5" x14ac:dyDescent="0.25">
      <c r="A376" s="197" t="s">
        <v>122</v>
      </c>
      <c r="B376" s="453" t="s">
        <v>791</v>
      </c>
      <c r="C376" s="530">
        <v>810</v>
      </c>
      <c r="D376" s="26">
        <f>'Функц. 2024-2026'!F365</f>
        <v>500</v>
      </c>
      <c r="E376" s="26">
        <f>'Функц. 2024-2026'!H365</f>
        <v>500</v>
      </c>
      <c r="F376" s="26">
        <f>'Функц. 2024-2026'!J365</f>
        <v>500</v>
      </c>
      <c r="G376" s="559">
        <f t="shared" si="107"/>
        <v>1</v>
      </c>
      <c r="H376" s="68"/>
    </row>
    <row r="377" spans="1:31" s="104" customFormat="1" x14ac:dyDescent="0.25">
      <c r="A377" s="291" t="s">
        <v>187</v>
      </c>
      <c r="B377" s="330" t="s">
        <v>113</v>
      </c>
      <c r="C377" s="540"/>
      <c r="D377" s="454">
        <f>D378+D414+D409</f>
        <v>577729.20000000007</v>
      </c>
      <c r="E377" s="454">
        <f>E378+E414+E409</f>
        <v>577729.20000000007</v>
      </c>
      <c r="F377" s="454">
        <f>F378+F414+F409</f>
        <v>574506.29999999993</v>
      </c>
      <c r="G377" s="558">
        <f t="shared" si="107"/>
        <v>0.99442143481755785</v>
      </c>
      <c r="H377" s="68"/>
    </row>
    <row r="378" spans="1:31" x14ac:dyDescent="0.25">
      <c r="A378" s="217" t="s">
        <v>568</v>
      </c>
      <c r="B378" s="226" t="s">
        <v>114</v>
      </c>
      <c r="C378" s="530"/>
      <c r="D378" s="26">
        <f>D379+D392+D398</f>
        <v>261301.7</v>
      </c>
      <c r="E378" s="26">
        <f>E379+E392+E398</f>
        <v>261301.7</v>
      </c>
      <c r="F378" s="26">
        <f>F379+F392+F398</f>
        <v>260871.1</v>
      </c>
      <c r="G378" s="559">
        <f t="shared" si="107"/>
        <v>0.99835209644636824</v>
      </c>
      <c r="H378" s="68"/>
    </row>
    <row r="379" spans="1:31" ht="31.5" x14ac:dyDescent="0.25">
      <c r="A379" s="218" t="s">
        <v>183</v>
      </c>
      <c r="B379" s="226" t="s">
        <v>184</v>
      </c>
      <c r="C379" s="530"/>
      <c r="D379" s="26">
        <f>D380+D389</f>
        <v>234228.40000000002</v>
      </c>
      <c r="E379" s="26">
        <f>E380+E389</f>
        <v>234228.40000000002</v>
      </c>
      <c r="F379" s="26">
        <f>F380+F389</f>
        <v>233992.30000000002</v>
      </c>
      <c r="G379" s="559">
        <f t="shared" si="107"/>
        <v>0.99899200950866762</v>
      </c>
      <c r="H379" s="68"/>
    </row>
    <row r="380" spans="1:31" ht="31.5" x14ac:dyDescent="0.25">
      <c r="A380" s="218" t="s">
        <v>185</v>
      </c>
      <c r="B380" s="226" t="s">
        <v>186</v>
      </c>
      <c r="C380" s="458"/>
      <c r="D380" s="26">
        <f>D381+D383+D385+D387</f>
        <v>215070.7</v>
      </c>
      <c r="E380" s="26">
        <f t="shared" ref="E380" si="122">E381+E383+E385+E387</f>
        <v>215070.7</v>
      </c>
      <c r="F380" s="26">
        <f t="shared" ref="F380" si="123">F381+F383+F385+F387</f>
        <v>214888.6</v>
      </c>
      <c r="G380" s="559">
        <f t="shared" si="107"/>
        <v>0.999153301681726</v>
      </c>
      <c r="H380" s="68"/>
    </row>
    <row r="381" spans="1:31" x14ac:dyDescent="0.25">
      <c r="A381" s="216" t="s">
        <v>121</v>
      </c>
      <c r="B381" s="226" t="s">
        <v>186</v>
      </c>
      <c r="C381" s="530">
        <v>200</v>
      </c>
      <c r="D381" s="26">
        <f>D382</f>
        <v>3065.7000000000003</v>
      </c>
      <c r="E381" s="26">
        <f>E382</f>
        <v>3065.7000000000003</v>
      </c>
      <c r="F381" s="26">
        <f>F382</f>
        <v>2889.4</v>
      </c>
      <c r="G381" s="559">
        <f t="shared" si="107"/>
        <v>0.94249274227745694</v>
      </c>
      <c r="H381" s="68"/>
    </row>
    <row r="382" spans="1:31" x14ac:dyDescent="0.25">
      <c r="A382" s="216" t="s">
        <v>52</v>
      </c>
      <c r="B382" s="226" t="s">
        <v>186</v>
      </c>
      <c r="C382" s="530">
        <v>240</v>
      </c>
      <c r="D382" s="26">
        <f>'Функц. 2024-2026'!F128</f>
        <v>3065.7000000000003</v>
      </c>
      <c r="E382" s="26">
        <f>'Функц. 2024-2026'!H128</f>
        <v>3065.7000000000003</v>
      </c>
      <c r="F382" s="26">
        <f>'Функц. 2024-2026'!J128</f>
        <v>2889.4</v>
      </c>
      <c r="G382" s="559">
        <f t="shared" si="107"/>
        <v>0.94249274227745694</v>
      </c>
      <c r="H382" s="68"/>
    </row>
    <row r="383" spans="1:31" x14ac:dyDescent="0.25">
      <c r="A383" s="216" t="s">
        <v>98</v>
      </c>
      <c r="B383" s="226" t="s">
        <v>186</v>
      </c>
      <c r="C383" s="530">
        <v>300</v>
      </c>
      <c r="D383" s="26">
        <f>D384</f>
        <v>2117.3999999999996</v>
      </c>
      <c r="E383" s="129">
        <f>E384</f>
        <v>2117.3999999999996</v>
      </c>
      <c r="F383" s="129">
        <f>F384</f>
        <v>2111.6</v>
      </c>
      <c r="G383" s="559">
        <f t="shared" si="107"/>
        <v>0.99726079153679048</v>
      </c>
      <c r="H383" s="68"/>
    </row>
    <row r="384" spans="1:31" x14ac:dyDescent="0.25">
      <c r="A384" s="197" t="s">
        <v>447</v>
      </c>
      <c r="B384" s="226" t="s">
        <v>186</v>
      </c>
      <c r="C384" s="530">
        <v>360</v>
      </c>
      <c r="D384" s="26">
        <f>'Функц. 2024-2026'!F130</f>
        <v>2117.3999999999996</v>
      </c>
      <c r="E384" s="26">
        <f>'Функц. 2024-2026'!H130</f>
        <v>2117.3999999999996</v>
      </c>
      <c r="F384" s="26">
        <f>'Функц. 2024-2026'!J130</f>
        <v>2111.6</v>
      </c>
      <c r="G384" s="559">
        <f t="shared" si="107"/>
        <v>0.99726079153679048</v>
      </c>
      <c r="H384" s="68"/>
    </row>
    <row r="385" spans="1:8" ht="31.5" x14ac:dyDescent="0.25">
      <c r="A385" s="268" t="s">
        <v>61</v>
      </c>
      <c r="B385" s="226" t="s">
        <v>186</v>
      </c>
      <c r="C385" s="530">
        <v>600</v>
      </c>
      <c r="D385" s="26">
        <f>D386</f>
        <v>15887.6</v>
      </c>
      <c r="E385" s="26">
        <f>E386</f>
        <v>15887.6</v>
      </c>
      <c r="F385" s="26">
        <f>F386</f>
        <v>15887.6</v>
      </c>
      <c r="G385" s="559">
        <f t="shared" si="107"/>
        <v>1</v>
      </c>
      <c r="H385" s="68"/>
    </row>
    <row r="386" spans="1:8" x14ac:dyDescent="0.25">
      <c r="A386" s="268" t="s">
        <v>62</v>
      </c>
      <c r="B386" s="226" t="s">
        <v>186</v>
      </c>
      <c r="C386" s="530">
        <v>610</v>
      </c>
      <c r="D386" s="26">
        <f>'Функц. 2024-2026'!F132</f>
        <v>15887.6</v>
      </c>
      <c r="E386" s="26">
        <f>'Функц. 2024-2026'!H132</f>
        <v>15887.6</v>
      </c>
      <c r="F386" s="26">
        <f>'Функц. 2024-2026'!J132</f>
        <v>15887.6</v>
      </c>
      <c r="G386" s="559">
        <f t="shared" si="107"/>
        <v>1</v>
      </c>
      <c r="H386" s="68"/>
    </row>
    <row r="387" spans="1:8" x14ac:dyDescent="0.25">
      <c r="A387" s="347" t="s">
        <v>42</v>
      </c>
      <c r="B387" s="226" t="s">
        <v>186</v>
      </c>
      <c r="C387" s="530">
        <v>800</v>
      </c>
      <c r="D387" s="26">
        <f>D388</f>
        <v>194000</v>
      </c>
      <c r="E387" s="26">
        <f t="shared" ref="E387:F387" si="124">E388</f>
        <v>194000</v>
      </c>
      <c r="F387" s="26">
        <f t="shared" si="124"/>
        <v>194000</v>
      </c>
      <c r="G387" s="559">
        <f t="shared" si="107"/>
        <v>1</v>
      </c>
      <c r="H387" s="68"/>
    </row>
    <row r="388" spans="1:8" ht="31.5" x14ac:dyDescent="0.25">
      <c r="A388" s="347" t="s">
        <v>122</v>
      </c>
      <c r="B388" s="226" t="s">
        <v>186</v>
      </c>
      <c r="C388" s="530">
        <v>810</v>
      </c>
      <c r="D388" s="26">
        <f>'Функц. 2024-2026'!F424</f>
        <v>194000</v>
      </c>
      <c r="E388" s="26">
        <f>'Функц. 2024-2026'!H424</f>
        <v>194000</v>
      </c>
      <c r="F388" s="26">
        <f>'Функц. 2024-2026'!J424</f>
        <v>194000</v>
      </c>
      <c r="G388" s="559">
        <f t="shared" si="107"/>
        <v>1</v>
      </c>
      <c r="H388" s="68"/>
    </row>
    <row r="389" spans="1:8" x14ac:dyDescent="0.25">
      <c r="A389" s="201" t="s">
        <v>466</v>
      </c>
      <c r="B389" s="226" t="s">
        <v>410</v>
      </c>
      <c r="C389" s="530"/>
      <c r="D389" s="26">
        <f t="shared" ref="D389:F390" si="125">D390</f>
        <v>19157.7</v>
      </c>
      <c r="E389" s="26">
        <f t="shared" si="125"/>
        <v>19157.7</v>
      </c>
      <c r="F389" s="26">
        <f t="shared" si="125"/>
        <v>19103.7</v>
      </c>
      <c r="G389" s="559">
        <f t="shared" si="107"/>
        <v>0.99718129002959643</v>
      </c>
      <c r="H389" s="68"/>
    </row>
    <row r="390" spans="1:8" x14ac:dyDescent="0.25">
      <c r="A390" s="216" t="s">
        <v>121</v>
      </c>
      <c r="B390" s="226" t="s">
        <v>410</v>
      </c>
      <c r="C390" s="548">
        <v>200</v>
      </c>
      <c r="D390" s="26">
        <f t="shared" si="125"/>
        <v>19157.7</v>
      </c>
      <c r="E390" s="26">
        <f t="shared" si="125"/>
        <v>19157.7</v>
      </c>
      <c r="F390" s="26">
        <f t="shared" si="125"/>
        <v>19103.7</v>
      </c>
      <c r="G390" s="559">
        <f t="shared" si="107"/>
        <v>0.99718129002959643</v>
      </c>
      <c r="H390" s="68"/>
    </row>
    <row r="391" spans="1:8" x14ac:dyDescent="0.25">
      <c r="A391" s="216" t="s">
        <v>52</v>
      </c>
      <c r="B391" s="226" t="s">
        <v>410</v>
      </c>
      <c r="C391" s="548">
        <v>240</v>
      </c>
      <c r="D391" s="26">
        <f>'Функц. 2024-2026'!F373</f>
        <v>19157.7</v>
      </c>
      <c r="E391" s="26">
        <f>'Функц. 2024-2026'!H373</f>
        <v>19157.7</v>
      </c>
      <c r="F391" s="26">
        <f>'Функц. 2024-2026'!J373</f>
        <v>19103.7</v>
      </c>
      <c r="G391" s="559">
        <f t="shared" si="107"/>
        <v>0.99718129002959643</v>
      </c>
      <c r="H391" s="68"/>
    </row>
    <row r="392" spans="1:8" ht="31.5" x14ac:dyDescent="0.25">
      <c r="A392" s="218" t="s">
        <v>188</v>
      </c>
      <c r="B392" s="226" t="s">
        <v>189</v>
      </c>
      <c r="C392" s="549"/>
      <c r="D392" s="26">
        <f>D393</f>
        <v>1523</v>
      </c>
      <c r="E392" s="26">
        <f>E393</f>
        <v>1523</v>
      </c>
      <c r="F392" s="26">
        <f>F393</f>
        <v>1416.4</v>
      </c>
      <c r="G392" s="559">
        <f t="shared" si="107"/>
        <v>0.93000656598818132</v>
      </c>
      <c r="H392" s="68"/>
    </row>
    <row r="393" spans="1:8" ht="47.25" x14ac:dyDescent="0.25">
      <c r="A393" s="218" t="s">
        <v>663</v>
      </c>
      <c r="B393" s="226" t="s">
        <v>662</v>
      </c>
      <c r="C393" s="549"/>
      <c r="D393" s="26">
        <f>D395+D396</f>
        <v>1523</v>
      </c>
      <c r="E393" s="26">
        <f>E395+E396</f>
        <v>1523</v>
      </c>
      <c r="F393" s="26">
        <f>F395+F396</f>
        <v>1416.4</v>
      </c>
      <c r="G393" s="559">
        <f t="shared" si="107"/>
        <v>0.93000656598818132</v>
      </c>
      <c r="H393" s="68"/>
    </row>
    <row r="394" spans="1:8" ht="47.25" x14ac:dyDescent="0.25">
      <c r="A394" s="216" t="s">
        <v>41</v>
      </c>
      <c r="B394" s="226" t="s">
        <v>662</v>
      </c>
      <c r="C394" s="549">
        <v>100</v>
      </c>
      <c r="D394" s="26">
        <f>D395</f>
        <v>1419.9</v>
      </c>
      <c r="E394" s="26">
        <f>E395</f>
        <v>1419.9</v>
      </c>
      <c r="F394" s="26">
        <f>F395</f>
        <v>1416.4</v>
      </c>
      <c r="G394" s="559">
        <f t="shared" si="107"/>
        <v>0.99753503767870977</v>
      </c>
      <c r="H394" s="68"/>
    </row>
    <row r="395" spans="1:8" x14ac:dyDescent="0.25">
      <c r="A395" s="288" t="s">
        <v>97</v>
      </c>
      <c r="B395" s="226" t="s">
        <v>662</v>
      </c>
      <c r="C395" s="549">
        <v>120</v>
      </c>
      <c r="D395" s="26">
        <f>'Функц. 2024-2026'!F136</f>
        <v>1419.9</v>
      </c>
      <c r="E395" s="26">
        <f>'Функц. 2024-2026'!H136</f>
        <v>1419.9</v>
      </c>
      <c r="F395" s="26">
        <f>'Функц. 2024-2026'!J136</f>
        <v>1416.4</v>
      </c>
      <c r="G395" s="559">
        <f t="shared" ref="G395:G458" si="126">F395/E395</f>
        <v>0.99753503767870977</v>
      </c>
      <c r="H395" s="68"/>
    </row>
    <row r="396" spans="1:8" x14ac:dyDescent="0.25">
      <c r="A396" s="288" t="s">
        <v>121</v>
      </c>
      <c r="B396" s="226" t="s">
        <v>662</v>
      </c>
      <c r="C396" s="549">
        <v>200</v>
      </c>
      <c r="D396" s="26">
        <f>D397</f>
        <v>103.1</v>
      </c>
      <c r="E396" s="26">
        <f>E397</f>
        <v>103.1</v>
      </c>
      <c r="F396" s="26">
        <f>F397</f>
        <v>0</v>
      </c>
      <c r="G396" s="559">
        <f t="shared" si="126"/>
        <v>0</v>
      </c>
      <c r="H396" s="68"/>
    </row>
    <row r="397" spans="1:8" x14ac:dyDescent="0.25">
      <c r="A397" s="288" t="s">
        <v>52</v>
      </c>
      <c r="B397" s="226" t="s">
        <v>662</v>
      </c>
      <c r="C397" s="549">
        <v>240</v>
      </c>
      <c r="D397" s="26">
        <f>'Функц. 2024-2026'!F138</f>
        <v>103.1</v>
      </c>
      <c r="E397" s="26">
        <f>'Функц. 2024-2026'!H138</f>
        <v>103.1</v>
      </c>
      <c r="F397" s="26">
        <f>'Функц. 2024-2026'!J138</f>
        <v>0</v>
      </c>
      <c r="G397" s="559">
        <f t="shared" si="126"/>
        <v>0</v>
      </c>
      <c r="H397" s="68"/>
    </row>
    <row r="398" spans="1:8" ht="31.5" x14ac:dyDescent="0.25">
      <c r="A398" s="217" t="s">
        <v>339</v>
      </c>
      <c r="B398" s="226" t="s">
        <v>491</v>
      </c>
      <c r="C398" s="549"/>
      <c r="D398" s="26">
        <f>D399</f>
        <v>25550.3</v>
      </c>
      <c r="E398" s="26">
        <f>E399</f>
        <v>25550.3</v>
      </c>
      <c r="F398" s="26">
        <f>F399</f>
        <v>25462.400000000001</v>
      </c>
      <c r="G398" s="559">
        <f t="shared" si="126"/>
        <v>0.99655972728304565</v>
      </c>
      <c r="H398" s="68"/>
    </row>
    <row r="399" spans="1:8" x14ac:dyDescent="0.25">
      <c r="A399" s="217" t="s">
        <v>207</v>
      </c>
      <c r="B399" s="226" t="s">
        <v>492</v>
      </c>
      <c r="C399" s="530"/>
      <c r="D399" s="26">
        <f>D400+D403+D406</f>
        <v>25550.3</v>
      </c>
      <c r="E399" s="26">
        <f>E400+E403+E406</f>
        <v>25550.3</v>
      </c>
      <c r="F399" s="26">
        <f>F400+F403+F406</f>
        <v>25462.400000000001</v>
      </c>
      <c r="G399" s="559">
        <f t="shared" si="126"/>
        <v>0.99655972728304565</v>
      </c>
      <c r="H399" s="68"/>
    </row>
    <row r="400" spans="1:8" ht="31.5" x14ac:dyDescent="0.25">
      <c r="A400" s="217" t="s">
        <v>208</v>
      </c>
      <c r="B400" s="226" t="s">
        <v>493</v>
      </c>
      <c r="C400" s="530"/>
      <c r="D400" s="26">
        <f t="shared" ref="D400:F401" si="127">D401</f>
        <v>1874.6</v>
      </c>
      <c r="E400" s="26">
        <f t="shared" si="127"/>
        <v>1874.6</v>
      </c>
      <c r="F400" s="26">
        <f t="shared" si="127"/>
        <v>1817.4</v>
      </c>
      <c r="G400" s="559">
        <f t="shared" si="126"/>
        <v>0.96948682385575602</v>
      </c>
      <c r="H400" s="68"/>
    </row>
    <row r="401" spans="1:8" x14ac:dyDescent="0.25">
      <c r="A401" s="216" t="s">
        <v>121</v>
      </c>
      <c r="B401" s="226" t="s">
        <v>493</v>
      </c>
      <c r="C401" s="530">
        <v>200</v>
      </c>
      <c r="D401" s="26">
        <f t="shared" si="127"/>
        <v>1874.6</v>
      </c>
      <c r="E401" s="26">
        <f t="shared" si="127"/>
        <v>1874.6</v>
      </c>
      <c r="F401" s="26">
        <f t="shared" si="127"/>
        <v>1817.4</v>
      </c>
      <c r="G401" s="559">
        <f t="shared" si="126"/>
        <v>0.96948682385575602</v>
      </c>
      <c r="H401" s="68"/>
    </row>
    <row r="402" spans="1:8" x14ac:dyDescent="0.25">
      <c r="A402" s="216" t="s">
        <v>52</v>
      </c>
      <c r="B402" s="226" t="s">
        <v>493</v>
      </c>
      <c r="C402" s="530">
        <v>240</v>
      </c>
      <c r="D402" s="26">
        <f>'Функц. 2024-2026'!F143</f>
        <v>1874.6</v>
      </c>
      <c r="E402" s="26">
        <f>'Функц. 2024-2026'!H143</f>
        <v>1874.6</v>
      </c>
      <c r="F402" s="26">
        <f>'Функц. 2024-2026'!J143</f>
        <v>1817.4</v>
      </c>
      <c r="G402" s="559">
        <f t="shared" si="126"/>
        <v>0.96948682385575602</v>
      </c>
      <c r="H402" s="68"/>
    </row>
    <row r="403" spans="1:8" ht="31.5" x14ac:dyDescent="0.25">
      <c r="A403" s="216" t="s">
        <v>209</v>
      </c>
      <c r="B403" s="233" t="str">
        <f>B404</f>
        <v>12 1 04 00132</v>
      </c>
      <c r="C403" s="530"/>
      <c r="D403" s="26">
        <f t="shared" ref="D403:F404" si="128">D404</f>
        <v>7936</v>
      </c>
      <c r="E403" s="26">
        <f t="shared" si="128"/>
        <v>7936</v>
      </c>
      <c r="F403" s="26">
        <f t="shared" si="128"/>
        <v>7928.1</v>
      </c>
      <c r="G403" s="559">
        <f t="shared" si="126"/>
        <v>0.9990045362903226</v>
      </c>
      <c r="H403" s="68"/>
    </row>
    <row r="404" spans="1:8" ht="47.25" x14ac:dyDescent="0.25">
      <c r="A404" s="216" t="s">
        <v>41</v>
      </c>
      <c r="B404" s="233" t="str">
        <f>B405</f>
        <v>12 1 04 00132</v>
      </c>
      <c r="C404" s="530">
        <v>100</v>
      </c>
      <c r="D404" s="26">
        <f t="shared" si="128"/>
        <v>7936</v>
      </c>
      <c r="E404" s="26">
        <f t="shared" si="128"/>
        <v>7936</v>
      </c>
      <c r="F404" s="26">
        <f t="shared" si="128"/>
        <v>7928.1</v>
      </c>
      <c r="G404" s="559">
        <f t="shared" si="126"/>
        <v>0.9990045362903226</v>
      </c>
      <c r="H404" s="68"/>
    </row>
    <row r="405" spans="1:8" x14ac:dyDescent="0.25">
      <c r="A405" s="216" t="s">
        <v>97</v>
      </c>
      <c r="B405" s="226" t="s">
        <v>494</v>
      </c>
      <c r="C405" s="530">
        <v>120</v>
      </c>
      <c r="D405" s="26">
        <f>'Функц. 2024-2026'!F146</f>
        <v>7936</v>
      </c>
      <c r="E405" s="26">
        <f>'Функц. 2024-2026'!H146</f>
        <v>7936</v>
      </c>
      <c r="F405" s="26">
        <f>'Функц. 2024-2026'!J146</f>
        <v>7928.1</v>
      </c>
      <c r="G405" s="559">
        <f t="shared" si="126"/>
        <v>0.9990045362903226</v>
      </c>
      <c r="H405" s="68"/>
    </row>
    <row r="406" spans="1:8" ht="31.5" x14ac:dyDescent="0.25">
      <c r="A406" s="216" t="s">
        <v>210</v>
      </c>
      <c r="B406" s="233" t="str">
        <f>B407</f>
        <v>12 1 04 00133</v>
      </c>
      <c r="C406" s="530"/>
      <c r="D406" s="26">
        <f t="shared" ref="D406:F407" si="129">D407</f>
        <v>15739.699999999999</v>
      </c>
      <c r="E406" s="26">
        <f t="shared" si="129"/>
        <v>15739.699999999999</v>
      </c>
      <c r="F406" s="26">
        <f t="shared" si="129"/>
        <v>15716.9</v>
      </c>
      <c r="G406" s="559">
        <f t="shared" si="126"/>
        <v>0.9985514336359651</v>
      </c>
      <c r="H406" s="68"/>
    </row>
    <row r="407" spans="1:8" ht="47.25" x14ac:dyDescent="0.25">
      <c r="A407" s="216" t="s">
        <v>41</v>
      </c>
      <c r="B407" s="233" t="str">
        <f>B408</f>
        <v>12 1 04 00133</v>
      </c>
      <c r="C407" s="530">
        <v>100</v>
      </c>
      <c r="D407" s="26">
        <f t="shared" si="129"/>
        <v>15739.699999999999</v>
      </c>
      <c r="E407" s="26">
        <f t="shared" si="129"/>
        <v>15739.699999999999</v>
      </c>
      <c r="F407" s="26">
        <f t="shared" si="129"/>
        <v>15716.9</v>
      </c>
      <c r="G407" s="559">
        <f t="shared" si="126"/>
        <v>0.9985514336359651</v>
      </c>
      <c r="H407" s="68"/>
    </row>
    <row r="408" spans="1:8" x14ac:dyDescent="0.25">
      <c r="A408" s="216" t="s">
        <v>97</v>
      </c>
      <c r="B408" s="226" t="s">
        <v>495</v>
      </c>
      <c r="C408" s="530">
        <v>120</v>
      </c>
      <c r="D408" s="26">
        <f>'Функц. 2024-2026'!F149</f>
        <v>15739.699999999999</v>
      </c>
      <c r="E408" s="26">
        <f>'Функц. 2024-2026'!H149</f>
        <v>15739.699999999999</v>
      </c>
      <c r="F408" s="26">
        <f>'Функц. 2024-2026'!J149</f>
        <v>15716.9</v>
      </c>
      <c r="G408" s="559">
        <f t="shared" si="126"/>
        <v>0.9985514336359651</v>
      </c>
      <c r="H408" s="68"/>
    </row>
    <row r="409" spans="1:8" x14ac:dyDescent="0.25">
      <c r="A409" s="217" t="s">
        <v>569</v>
      </c>
      <c r="B409" s="226" t="s">
        <v>431</v>
      </c>
      <c r="C409" s="530"/>
      <c r="D409" s="26">
        <f t="shared" ref="D409:F412" si="130">D410</f>
        <v>319.90000000000003</v>
      </c>
      <c r="E409" s="26">
        <f t="shared" si="130"/>
        <v>319.90000000000003</v>
      </c>
      <c r="F409" s="26">
        <f t="shared" si="130"/>
        <v>319.89999999999998</v>
      </c>
      <c r="G409" s="559">
        <f t="shared" si="126"/>
        <v>0.99999999999999978</v>
      </c>
      <c r="H409" s="68"/>
    </row>
    <row r="410" spans="1:8" ht="31.5" x14ac:dyDescent="0.25">
      <c r="A410" s="218" t="s">
        <v>570</v>
      </c>
      <c r="B410" s="226" t="s">
        <v>433</v>
      </c>
      <c r="C410" s="530"/>
      <c r="D410" s="26">
        <f t="shared" si="130"/>
        <v>319.90000000000003</v>
      </c>
      <c r="E410" s="26">
        <f t="shared" si="130"/>
        <v>319.90000000000003</v>
      </c>
      <c r="F410" s="26">
        <f t="shared" si="130"/>
        <v>319.89999999999998</v>
      </c>
      <c r="G410" s="559">
        <f t="shared" si="126"/>
        <v>0.99999999999999978</v>
      </c>
      <c r="H410" s="68"/>
    </row>
    <row r="411" spans="1:8" x14ac:dyDescent="0.25">
      <c r="A411" s="217" t="s">
        <v>190</v>
      </c>
      <c r="B411" s="226" t="s">
        <v>571</v>
      </c>
      <c r="C411" s="530"/>
      <c r="D411" s="26">
        <f t="shared" si="130"/>
        <v>319.90000000000003</v>
      </c>
      <c r="E411" s="26">
        <f t="shared" si="130"/>
        <v>319.90000000000003</v>
      </c>
      <c r="F411" s="26">
        <f t="shared" si="130"/>
        <v>319.89999999999998</v>
      </c>
      <c r="G411" s="559">
        <f t="shared" si="126"/>
        <v>0.99999999999999978</v>
      </c>
      <c r="H411" s="68"/>
    </row>
    <row r="412" spans="1:8" x14ac:dyDescent="0.25">
      <c r="A412" s="216" t="s">
        <v>68</v>
      </c>
      <c r="B412" s="226" t="s">
        <v>571</v>
      </c>
      <c r="C412" s="530">
        <v>700</v>
      </c>
      <c r="D412" s="26">
        <f t="shared" si="130"/>
        <v>319.90000000000003</v>
      </c>
      <c r="E412" s="26">
        <f t="shared" si="130"/>
        <v>319.90000000000003</v>
      </c>
      <c r="F412" s="26">
        <f t="shared" si="130"/>
        <v>319.89999999999998</v>
      </c>
      <c r="G412" s="559">
        <f t="shared" si="126"/>
        <v>0.99999999999999978</v>
      </c>
      <c r="H412" s="68"/>
    </row>
    <row r="413" spans="1:8" x14ac:dyDescent="0.25">
      <c r="A413" s="294" t="s">
        <v>372</v>
      </c>
      <c r="B413" s="226" t="s">
        <v>571</v>
      </c>
      <c r="C413" s="530">
        <v>730</v>
      </c>
      <c r="D413" s="26">
        <f>'Функц. 2024-2026'!F891</f>
        <v>319.90000000000003</v>
      </c>
      <c r="E413" s="26">
        <f>'Функц. 2024-2026'!H891</f>
        <v>319.90000000000003</v>
      </c>
      <c r="F413" s="26">
        <f>'Функц. 2024-2026'!J891</f>
        <v>319.89999999999998</v>
      </c>
      <c r="G413" s="559">
        <f t="shared" si="126"/>
        <v>0.99999999999999978</v>
      </c>
      <c r="H413" s="68"/>
    </row>
    <row r="414" spans="1:8" x14ac:dyDescent="0.25">
      <c r="A414" s="217" t="s">
        <v>191</v>
      </c>
      <c r="B414" s="226" t="s">
        <v>192</v>
      </c>
      <c r="C414" s="458"/>
      <c r="D414" s="26">
        <f>D415+D473</f>
        <v>316107.59999999998</v>
      </c>
      <c r="E414" s="26">
        <f>E415+E473</f>
        <v>316107.59999999998</v>
      </c>
      <c r="F414" s="26">
        <f>F415+F473</f>
        <v>313315.29999999993</v>
      </c>
      <c r="G414" s="559">
        <f t="shared" si="126"/>
        <v>0.99116661541829409</v>
      </c>
      <c r="H414" s="68"/>
    </row>
    <row r="415" spans="1:8" ht="31.5" x14ac:dyDescent="0.25">
      <c r="A415" s="217" t="s">
        <v>193</v>
      </c>
      <c r="B415" s="226" t="s">
        <v>194</v>
      </c>
      <c r="C415" s="458"/>
      <c r="D415" s="26">
        <f>D416+D419+D445+D448+D456+D459+D431+D451</f>
        <v>315638.69999999995</v>
      </c>
      <c r="E415" s="26">
        <f>E416+E419+E445+E448+E456+E459+E431+E451</f>
        <v>315638.69999999995</v>
      </c>
      <c r="F415" s="26">
        <f>F416+F419+F445+F448+F456+F459+F431+F451</f>
        <v>312866.49999999994</v>
      </c>
      <c r="G415" s="559">
        <f t="shared" si="126"/>
        <v>0.99121717330606163</v>
      </c>
      <c r="H415" s="68"/>
    </row>
    <row r="416" spans="1:8" x14ac:dyDescent="0.25">
      <c r="A416" s="217" t="s">
        <v>195</v>
      </c>
      <c r="B416" s="226" t="s">
        <v>196</v>
      </c>
      <c r="C416" s="458"/>
      <c r="D416" s="26">
        <f t="shared" ref="D416:F417" si="131">D417</f>
        <v>3713.4</v>
      </c>
      <c r="E416" s="26">
        <f t="shared" si="131"/>
        <v>3713.4</v>
      </c>
      <c r="F416" s="26">
        <f t="shared" si="131"/>
        <v>3542.1</v>
      </c>
      <c r="G416" s="559">
        <f t="shared" si="126"/>
        <v>0.95386976894490216</v>
      </c>
      <c r="H416" s="68"/>
    </row>
    <row r="417" spans="1:8" ht="47.25" x14ac:dyDescent="0.25">
      <c r="A417" s="216" t="s">
        <v>41</v>
      </c>
      <c r="B417" s="226" t="s">
        <v>196</v>
      </c>
      <c r="C417" s="458">
        <v>100</v>
      </c>
      <c r="D417" s="26">
        <f t="shared" si="131"/>
        <v>3713.4</v>
      </c>
      <c r="E417" s="26">
        <f t="shared" si="131"/>
        <v>3713.4</v>
      </c>
      <c r="F417" s="26">
        <f t="shared" si="131"/>
        <v>3542.1</v>
      </c>
      <c r="G417" s="559">
        <f t="shared" si="126"/>
        <v>0.95386976894490216</v>
      </c>
      <c r="H417" s="68"/>
    </row>
    <row r="418" spans="1:8" x14ac:dyDescent="0.25">
      <c r="A418" s="216" t="s">
        <v>97</v>
      </c>
      <c r="B418" s="226" t="s">
        <v>196</v>
      </c>
      <c r="C418" s="458">
        <v>120</v>
      </c>
      <c r="D418" s="26">
        <f>'Функц. 2024-2026'!F18</f>
        <v>3713.4</v>
      </c>
      <c r="E418" s="26">
        <f>'Функц. 2024-2026'!H18</f>
        <v>3713.4</v>
      </c>
      <c r="F418" s="26">
        <f>'Функц. 2024-2026'!J18</f>
        <v>3542.1</v>
      </c>
      <c r="G418" s="559">
        <f t="shared" si="126"/>
        <v>0.95386976894490216</v>
      </c>
      <c r="H418" s="68"/>
    </row>
    <row r="419" spans="1:8" x14ac:dyDescent="0.25">
      <c r="A419" s="217" t="s">
        <v>197</v>
      </c>
      <c r="B419" s="226" t="s">
        <v>198</v>
      </c>
      <c r="C419" s="530"/>
      <c r="D419" s="26">
        <f>D420+D425+D428</f>
        <v>95894</v>
      </c>
      <c r="E419" s="26">
        <f>E420+E425+E428</f>
        <v>95894</v>
      </c>
      <c r="F419" s="26">
        <f>F420+F425+F428</f>
        <v>93687.8</v>
      </c>
      <c r="G419" s="559">
        <f t="shared" si="126"/>
        <v>0.97699334682044758</v>
      </c>
      <c r="H419" s="68"/>
    </row>
    <row r="420" spans="1:8" ht="31.5" x14ac:dyDescent="0.25">
      <c r="A420" s="295" t="s">
        <v>199</v>
      </c>
      <c r="B420" s="226" t="s">
        <v>200</v>
      </c>
      <c r="C420" s="530"/>
      <c r="D420" s="26">
        <f>D421+D423</f>
        <v>9316.5000000000018</v>
      </c>
      <c r="E420" s="26">
        <f t="shared" ref="E420:F420" si="132">E421+E423</f>
        <v>9316.5000000000018</v>
      </c>
      <c r="F420" s="26">
        <f t="shared" si="132"/>
        <v>8178.9000000000005</v>
      </c>
      <c r="G420" s="559">
        <f t="shared" si="126"/>
        <v>0.87789405892770878</v>
      </c>
      <c r="H420" s="68"/>
    </row>
    <row r="421" spans="1:8" x14ac:dyDescent="0.25">
      <c r="A421" s="216" t="s">
        <v>121</v>
      </c>
      <c r="B421" s="226" t="s">
        <v>200</v>
      </c>
      <c r="C421" s="530">
        <v>200</v>
      </c>
      <c r="D421" s="26">
        <f>D422</f>
        <v>9316.4000000000015</v>
      </c>
      <c r="E421" s="26">
        <f>E422</f>
        <v>9316.4000000000015</v>
      </c>
      <c r="F421" s="26">
        <f>F422</f>
        <v>8178.8</v>
      </c>
      <c r="G421" s="559">
        <f t="shared" si="126"/>
        <v>0.87789274827186459</v>
      </c>
      <c r="H421" s="68"/>
    </row>
    <row r="422" spans="1:8" x14ac:dyDescent="0.25">
      <c r="A422" s="216" t="s">
        <v>52</v>
      </c>
      <c r="B422" s="226" t="s">
        <v>200</v>
      </c>
      <c r="C422" s="530">
        <v>240</v>
      </c>
      <c r="D422" s="26">
        <f>'Функц. 2024-2026'!F58</f>
        <v>9316.4000000000015</v>
      </c>
      <c r="E422" s="26">
        <f>'Функц. 2024-2026'!H58</f>
        <v>9316.4000000000015</v>
      </c>
      <c r="F422" s="26">
        <f>'Функц. 2024-2026'!J58</f>
        <v>8178.8</v>
      </c>
      <c r="G422" s="559">
        <f t="shared" si="126"/>
        <v>0.87789274827186459</v>
      </c>
      <c r="H422" s="68"/>
    </row>
    <row r="423" spans="1:8" x14ac:dyDescent="0.25">
      <c r="A423" s="197" t="s">
        <v>42</v>
      </c>
      <c r="B423" s="226" t="s">
        <v>200</v>
      </c>
      <c r="C423" s="457">
        <v>800</v>
      </c>
      <c r="D423" s="26">
        <f>D424</f>
        <v>0.1</v>
      </c>
      <c r="E423" s="26">
        <f>E424</f>
        <v>0.1</v>
      </c>
      <c r="F423" s="26">
        <f>F424</f>
        <v>0.1</v>
      </c>
      <c r="G423" s="559">
        <f t="shared" si="126"/>
        <v>1</v>
      </c>
      <c r="H423" s="68"/>
    </row>
    <row r="424" spans="1:8" x14ac:dyDescent="0.25">
      <c r="A424" s="197" t="s">
        <v>58</v>
      </c>
      <c r="B424" s="226" t="s">
        <v>200</v>
      </c>
      <c r="C424" s="457">
        <v>850</v>
      </c>
      <c r="D424" s="26">
        <f>'Функц. 2024-2026'!F60</f>
        <v>0.1</v>
      </c>
      <c r="E424" s="26">
        <f>'Функц. 2024-2026'!H60</f>
        <v>0.1</v>
      </c>
      <c r="F424" s="26">
        <f>'Функц. 2024-2026'!J60</f>
        <v>0.1</v>
      </c>
      <c r="G424" s="559">
        <f t="shared" si="126"/>
        <v>1</v>
      </c>
      <c r="H424" s="68"/>
    </row>
    <row r="425" spans="1:8" ht="31.5" x14ac:dyDescent="0.25">
      <c r="A425" s="216" t="s">
        <v>201</v>
      </c>
      <c r="B425" s="226" t="s">
        <v>202</v>
      </c>
      <c r="C425" s="458"/>
      <c r="D425" s="26">
        <f t="shared" ref="D425:F426" si="133">D426</f>
        <v>23377.7</v>
      </c>
      <c r="E425" s="26">
        <f t="shared" si="133"/>
        <v>23377.7</v>
      </c>
      <c r="F425" s="26">
        <f t="shared" si="133"/>
        <v>23253.7</v>
      </c>
      <c r="G425" s="559">
        <f t="shared" si="126"/>
        <v>0.99469579984344059</v>
      </c>
      <c r="H425" s="68"/>
    </row>
    <row r="426" spans="1:8" ht="47.25" x14ac:dyDescent="0.25">
      <c r="A426" s="216" t="s">
        <v>41</v>
      </c>
      <c r="B426" s="226" t="s">
        <v>202</v>
      </c>
      <c r="C426" s="458">
        <v>100</v>
      </c>
      <c r="D426" s="26">
        <f t="shared" si="133"/>
        <v>23377.7</v>
      </c>
      <c r="E426" s="26">
        <f t="shared" si="133"/>
        <v>23377.7</v>
      </c>
      <c r="F426" s="26">
        <f t="shared" si="133"/>
        <v>23253.7</v>
      </c>
      <c r="G426" s="559">
        <f t="shared" si="126"/>
        <v>0.99469579984344059</v>
      </c>
      <c r="H426" s="68"/>
    </row>
    <row r="427" spans="1:8" x14ac:dyDescent="0.25">
      <c r="A427" s="216" t="s">
        <v>97</v>
      </c>
      <c r="B427" s="226" t="s">
        <v>202</v>
      </c>
      <c r="C427" s="530">
        <v>120</v>
      </c>
      <c r="D427" s="26">
        <f>'Функц. 2024-2026'!F63</f>
        <v>23377.7</v>
      </c>
      <c r="E427" s="26">
        <f>'Функц. 2024-2026'!H63</f>
        <v>23377.7</v>
      </c>
      <c r="F427" s="26">
        <f>'Функц. 2024-2026'!J63</f>
        <v>23253.7</v>
      </c>
      <c r="G427" s="559">
        <f t="shared" si="126"/>
        <v>0.99469579984344059</v>
      </c>
      <c r="H427" s="68"/>
    </row>
    <row r="428" spans="1:8" ht="31.5" x14ac:dyDescent="0.25">
      <c r="A428" s="216" t="s">
        <v>203</v>
      </c>
      <c r="B428" s="226" t="s">
        <v>204</v>
      </c>
      <c r="C428" s="458"/>
      <c r="D428" s="26">
        <f t="shared" ref="D428:F429" si="134">D429</f>
        <v>63199.8</v>
      </c>
      <c r="E428" s="26">
        <f t="shared" si="134"/>
        <v>63199.8</v>
      </c>
      <c r="F428" s="26">
        <f t="shared" si="134"/>
        <v>62255.199999999997</v>
      </c>
      <c r="G428" s="559">
        <f t="shared" si="126"/>
        <v>0.98505375017009533</v>
      </c>
      <c r="H428" s="68"/>
    </row>
    <row r="429" spans="1:8" ht="47.25" x14ac:dyDescent="0.25">
      <c r="A429" s="216" t="s">
        <v>41</v>
      </c>
      <c r="B429" s="226" t="s">
        <v>204</v>
      </c>
      <c r="C429" s="458">
        <v>100</v>
      </c>
      <c r="D429" s="26">
        <f t="shared" si="134"/>
        <v>63199.8</v>
      </c>
      <c r="E429" s="26">
        <f t="shared" si="134"/>
        <v>63199.8</v>
      </c>
      <c r="F429" s="26">
        <f t="shared" si="134"/>
        <v>62255.199999999997</v>
      </c>
      <c r="G429" s="559">
        <f t="shared" si="126"/>
        <v>0.98505375017009533</v>
      </c>
      <c r="H429" s="68"/>
    </row>
    <row r="430" spans="1:8" x14ac:dyDescent="0.25">
      <c r="A430" s="216" t="s">
        <v>97</v>
      </c>
      <c r="B430" s="226" t="s">
        <v>204</v>
      </c>
      <c r="C430" s="530">
        <v>120</v>
      </c>
      <c r="D430" s="26">
        <f>'Функц. 2024-2026'!F66</f>
        <v>63199.8</v>
      </c>
      <c r="E430" s="26">
        <f>'Функц. 2024-2026'!H66</f>
        <v>63199.8</v>
      </c>
      <c r="F430" s="26">
        <f>'Функц. 2024-2026'!J66</f>
        <v>62255.199999999997</v>
      </c>
      <c r="G430" s="559">
        <f t="shared" si="126"/>
        <v>0.98505375017009533</v>
      </c>
      <c r="H430" s="68"/>
    </row>
    <row r="431" spans="1:8" x14ac:dyDescent="0.25">
      <c r="A431" s="218" t="s">
        <v>211</v>
      </c>
      <c r="B431" s="232" t="s">
        <v>212</v>
      </c>
      <c r="C431" s="530"/>
      <c r="D431" s="26">
        <f>D432+D439+D442</f>
        <v>33007.1</v>
      </c>
      <c r="E431" s="26">
        <f>E432+E439+E442</f>
        <v>33007.1</v>
      </c>
      <c r="F431" s="26">
        <f>F432+F439+F442</f>
        <v>32905.799999999996</v>
      </c>
      <c r="G431" s="559">
        <f t="shared" si="126"/>
        <v>0.99693096333819076</v>
      </c>
      <c r="H431" s="68"/>
    </row>
    <row r="432" spans="1:8" ht="31.5" x14ac:dyDescent="0.25">
      <c r="A432" s="216" t="s">
        <v>213</v>
      </c>
      <c r="B432" s="232" t="s">
        <v>214</v>
      </c>
      <c r="C432" s="530"/>
      <c r="D432" s="26">
        <f>D433+D435</f>
        <v>2996.7999999999997</v>
      </c>
      <c r="E432" s="26">
        <f>E433+E435+E437</f>
        <v>2996.7999999999997</v>
      </c>
      <c r="F432" s="26">
        <f>F433+F435+F437</f>
        <v>2896.3</v>
      </c>
      <c r="G432" s="559">
        <f t="shared" si="126"/>
        <v>0.96646422851041125</v>
      </c>
      <c r="H432" s="68"/>
    </row>
    <row r="433" spans="1:8" x14ac:dyDescent="0.25">
      <c r="A433" s="216" t="s">
        <v>121</v>
      </c>
      <c r="B433" s="232" t="s">
        <v>214</v>
      </c>
      <c r="C433" s="530">
        <v>200</v>
      </c>
      <c r="D433" s="26">
        <f>D434</f>
        <v>2991.3999999999996</v>
      </c>
      <c r="E433" s="26">
        <f>E434</f>
        <v>2991.2999999999997</v>
      </c>
      <c r="F433" s="26">
        <f>F434</f>
        <v>2890.8</v>
      </c>
      <c r="G433" s="559">
        <f t="shared" si="126"/>
        <v>0.96640256744559239</v>
      </c>
      <c r="H433" s="68"/>
    </row>
    <row r="434" spans="1:8" x14ac:dyDescent="0.25">
      <c r="A434" s="216" t="s">
        <v>52</v>
      </c>
      <c r="B434" s="232" t="s">
        <v>214</v>
      </c>
      <c r="C434" s="530">
        <v>240</v>
      </c>
      <c r="D434" s="26">
        <f>'Функц. 2024-2026'!F88</f>
        <v>2991.3999999999996</v>
      </c>
      <c r="E434" s="26">
        <f>'Функц. 2024-2026'!H88</f>
        <v>2991.2999999999997</v>
      </c>
      <c r="F434" s="26">
        <f>'Функц. 2024-2026'!J88</f>
        <v>2890.8</v>
      </c>
      <c r="G434" s="559">
        <f t="shared" si="126"/>
        <v>0.96640256744559239</v>
      </c>
      <c r="H434" s="68"/>
    </row>
    <row r="435" spans="1:8" x14ac:dyDescent="0.25">
      <c r="A435" s="197" t="s">
        <v>98</v>
      </c>
      <c r="B435" s="232" t="s">
        <v>214</v>
      </c>
      <c r="C435" s="530">
        <v>300</v>
      </c>
      <c r="D435" s="26">
        <f>D436</f>
        <v>5.4</v>
      </c>
      <c r="E435" s="26">
        <f>E436</f>
        <v>5.4</v>
      </c>
      <c r="F435" s="26">
        <f>F436</f>
        <v>5.4</v>
      </c>
      <c r="G435" s="559">
        <f t="shared" si="126"/>
        <v>1</v>
      </c>
      <c r="H435" s="68"/>
    </row>
    <row r="436" spans="1:8" x14ac:dyDescent="0.25">
      <c r="A436" s="197" t="s">
        <v>40</v>
      </c>
      <c r="B436" s="232" t="s">
        <v>214</v>
      </c>
      <c r="C436" s="530">
        <v>320</v>
      </c>
      <c r="D436" s="26">
        <f>'Функц. 2024-2026'!F90</f>
        <v>5.4</v>
      </c>
      <c r="E436" s="26">
        <f>'Функц. 2024-2026'!H90</f>
        <v>5.4</v>
      </c>
      <c r="F436" s="26">
        <f>'Функц. 2024-2026'!J90</f>
        <v>5.4</v>
      </c>
      <c r="G436" s="559">
        <f t="shared" si="126"/>
        <v>1</v>
      </c>
      <c r="H436" s="68"/>
    </row>
    <row r="437" spans="1:8" x14ac:dyDescent="0.25">
      <c r="A437" s="347" t="s">
        <v>42</v>
      </c>
      <c r="B437" s="363" t="s">
        <v>214</v>
      </c>
      <c r="C437" s="532">
        <v>800</v>
      </c>
      <c r="D437" s="26">
        <f>D438</f>
        <v>0</v>
      </c>
      <c r="E437" s="26">
        <f t="shared" ref="E437:F437" si="135">E438</f>
        <v>0.1</v>
      </c>
      <c r="F437" s="26">
        <f t="shared" si="135"/>
        <v>0.1</v>
      </c>
      <c r="G437" s="559">
        <f t="shared" si="126"/>
        <v>1</v>
      </c>
      <c r="H437" s="68"/>
    </row>
    <row r="438" spans="1:8" x14ac:dyDescent="0.25">
      <c r="A438" s="347" t="s">
        <v>58</v>
      </c>
      <c r="B438" s="363" t="s">
        <v>214</v>
      </c>
      <c r="C438" s="532">
        <v>850</v>
      </c>
      <c r="D438" s="26">
        <f>'Функц. 2024-2026'!F92</f>
        <v>0</v>
      </c>
      <c r="E438" s="26">
        <f>'Функц. 2024-2026'!H92</f>
        <v>0.1</v>
      </c>
      <c r="F438" s="26">
        <f>'Функц. 2024-2026'!H92</f>
        <v>0.1</v>
      </c>
      <c r="G438" s="559">
        <f t="shared" si="126"/>
        <v>1</v>
      </c>
      <c r="H438" s="68"/>
    </row>
    <row r="439" spans="1:8" ht="31.5" x14ac:dyDescent="0.25">
      <c r="A439" s="216" t="s">
        <v>218</v>
      </c>
      <c r="B439" s="233" t="str">
        <f>B440</f>
        <v>12 5 01 00162</v>
      </c>
      <c r="C439" s="530"/>
      <c r="D439" s="26">
        <f t="shared" ref="D439:F440" si="136">D440</f>
        <v>18972.100000000002</v>
      </c>
      <c r="E439" s="26">
        <f t="shared" si="136"/>
        <v>18972.100000000002</v>
      </c>
      <c r="F439" s="26">
        <f t="shared" si="136"/>
        <v>18971.599999999999</v>
      </c>
      <c r="G439" s="559">
        <f t="shared" si="126"/>
        <v>0.99997364551103973</v>
      </c>
      <c r="H439" s="68"/>
    </row>
    <row r="440" spans="1:8" ht="47.25" x14ac:dyDescent="0.25">
      <c r="A440" s="216" t="s">
        <v>41</v>
      </c>
      <c r="B440" s="233" t="str">
        <f>B441</f>
        <v>12 5 01 00162</v>
      </c>
      <c r="C440" s="530">
        <v>100</v>
      </c>
      <c r="D440" s="26">
        <f t="shared" si="136"/>
        <v>18972.100000000002</v>
      </c>
      <c r="E440" s="26">
        <f t="shared" si="136"/>
        <v>18972.100000000002</v>
      </c>
      <c r="F440" s="26">
        <f t="shared" si="136"/>
        <v>18971.599999999999</v>
      </c>
      <c r="G440" s="559">
        <f t="shared" si="126"/>
        <v>0.99997364551103973</v>
      </c>
      <c r="H440" s="68"/>
    </row>
    <row r="441" spans="1:8" x14ac:dyDescent="0.25">
      <c r="A441" s="216" t="s">
        <v>97</v>
      </c>
      <c r="B441" s="232" t="s">
        <v>215</v>
      </c>
      <c r="C441" s="530">
        <v>120</v>
      </c>
      <c r="D441" s="26">
        <f>'Функц. 2024-2026'!F95</f>
        <v>18972.100000000002</v>
      </c>
      <c r="E441" s="26">
        <f>'Функц. 2024-2026'!H95</f>
        <v>18972.100000000002</v>
      </c>
      <c r="F441" s="26">
        <f>'Функц. 2024-2026'!J95</f>
        <v>18971.599999999999</v>
      </c>
      <c r="G441" s="559">
        <f t="shared" si="126"/>
        <v>0.99997364551103973</v>
      </c>
      <c r="H441" s="68"/>
    </row>
    <row r="442" spans="1:8" ht="31.5" x14ac:dyDescent="0.25">
      <c r="A442" s="216" t="s">
        <v>217</v>
      </c>
      <c r="B442" s="233" t="str">
        <f>B443</f>
        <v>12 5 01 00163</v>
      </c>
      <c r="C442" s="530"/>
      <c r="D442" s="26">
        <f t="shared" ref="D442:F443" si="137">D443</f>
        <v>11038.199999999999</v>
      </c>
      <c r="E442" s="26">
        <f t="shared" si="137"/>
        <v>11038.199999999999</v>
      </c>
      <c r="F442" s="26">
        <f t="shared" si="137"/>
        <v>11037.9</v>
      </c>
      <c r="G442" s="559">
        <f t="shared" si="126"/>
        <v>0.99997282165570478</v>
      </c>
      <c r="H442" s="68"/>
    </row>
    <row r="443" spans="1:8" ht="47.25" x14ac:dyDescent="0.25">
      <c r="A443" s="216" t="s">
        <v>41</v>
      </c>
      <c r="B443" s="233" t="str">
        <f>B444</f>
        <v>12 5 01 00163</v>
      </c>
      <c r="C443" s="530">
        <v>100</v>
      </c>
      <c r="D443" s="26">
        <f t="shared" si="137"/>
        <v>11038.199999999999</v>
      </c>
      <c r="E443" s="26">
        <f t="shared" si="137"/>
        <v>11038.199999999999</v>
      </c>
      <c r="F443" s="26">
        <f t="shared" si="137"/>
        <v>11037.9</v>
      </c>
      <c r="G443" s="559">
        <f t="shared" si="126"/>
        <v>0.99997282165570478</v>
      </c>
      <c r="H443" s="68"/>
    </row>
    <row r="444" spans="1:8" x14ac:dyDescent="0.25">
      <c r="A444" s="216" t="s">
        <v>97</v>
      </c>
      <c r="B444" s="232" t="s">
        <v>216</v>
      </c>
      <c r="C444" s="530">
        <v>120</v>
      </c>
      <c r="D444" s="26">
        <f>'Функц. 2024-2026'!F98</f>
        <v>11038.199999999999</v>
      </c>
      <c r="E444" s="26">
        <f>'Функц. 2024-2026'!H98</f>
        <v>11038.199999999999</v>
      </c>
      <c r="F444" s="26">
        <f>'Функц. 2024-2026'!J98</f>
        <v>11037.9</v>
      </c>
      <c r="G444" s="559">
        <f t="shared" si="126"/>
        <v>0.99997282165570478</v>
      </c>
      <c r="H444" s="68"/>
    </row>
    <row r="445" spans="1:8" x14ac:dyDescent="0.25">
      <c r="A445" s="218" t="s">
        <v>223</v>
      </c>
      <c r="B445" s="232" t="s">
        <v>224</v>
      </c>
      <c r="C445" s="534"/>
      <c r="D445" s="26">
        <f t="shared" ref="D445:F446" si="138">D446</f>
        <v>485</v>
      </c>
      <c r="E445" s="26">
        <f t="shared" si="138"/>
        <v>485</v>
      </c>
      <c r="F445" s="26">
        <f t="shared" si="138"/>
        <v>485</v>
      </c>
      <c r="G445" s="559">
        <f t="shared" si="126"/>
        <v>1</v>
      </c>
      <c r="H445" s="68"/>
    </row>
    <row r="446" spans="1:8" x14ac:dyDescent="0.25">
      <c r="A446" s="216" t="s">
        <v>121</v>
      </c>
      <c r="B446" s="232" t="s">
        <v>224</v>
      </c>
      <c r="C446" s="543">
        <v>200</v>
      </c>
      <c r="D446" s="26">
        <f t="shared" si="138"/>
        <v>485</v>
      </c>
      <c r="E446" s="26">
        <f t="shared" si="138"/>
        <v>485</v>
      </c>
      <c r="F446" s="26">
        <f t="shared" si="138"/>
        <v>485</v>
      </c>
      <c r="G446" s="559">
        <f t="shared" si="126"/>
        <v>1</v>
      </c>
      <c r="H446" s="68"/>
    </row>
    <row r="447" spans="1:8" x14ac:dyDescent="0.25">
      <c r="A447" s="216" t="s">
        <v>52</v>
      </c>
      <c r="B447" s="232" t="s">
        <v>224</v>
      </c>
      <c r="C447" s="543">
        <v>240</v>
      </c>
      <c r="D447" s="26">
        <f>'Функц. 2024-2026'!F229</f>
        <v>485</v>
      </c>
      <c r="E447" s="26">
        <f>'Функц. 2024-2026'!H229</f>
        <v>485</v>
      </c>
      <c r="F447" s="26">
        <f>'Функц. 2024-2026'!J229</f>
        <v>485</v>
      </c>
      <c r="G447" s="559">
        <f t="shared" si="126"/>
        <v>1</v>
      </c>
      <c r="H447" s="68"/>
    </row>
    <row r="448" spans="1:8" x14ac:dyDescent="0.25">
      <c r="A448" s="218" t="s">
        <v>225</v>
      </c>
      <c r="B448" s="232" t="s">
        <v>226</v>
      </c>
      <c r="C448" s="530"/>
      <c r="D448" s="26">
        <f t="shared" ref="D448:F449" si="139">D449</f>
        <v>137.5</v>
      </c>
      <c r="E448" s="26">
        <f t="shared" si="139"/>
        <v>137.5</v>
      </c>
      <c r="F448" s="26">
        <f t="shared" si="139"/>
        <v>137.5</v>
      </c>
      <c r="G448" s="559">
        <f t="shared" si="126"/>
        <v>1</v>
      </c>
      <c r="H448" s="68"/>
    </row>
    <row r="449" spans="1:8" x14ac:dyDescent="0.25">
      <c r="A449" s="216" t="s">
        <v>42</v>
      </c>
      <c r="B449" s="232" t="s">
        <v>226</v>
      </c>
      <c r="C449" s="530">
        <v>800</v>
      </c>
      <c r="D449" s="26">
        <f t="shared" si="139"/>
        <v>137.5</v>
      </c>
      <c r="E449" s="26">
        <f t="shared" si="139"/>
        <v>137.5</v>
      </c>
      <c r="F449" s="26">
        <f t="shared" si="139"/>
        <v>137.5</v>
      </c>
      <c r="G449" s="559">
        <f t="shared" si="126"/>
        <v>1</v>
      </c>
      <c r="H449" s="68"/>
    </row>
    <row r="450" spans="1:8" x14ac:dyDescent="0.25">
      <c r="A450" s="216" t="s">
        <v>58</v>
      </c>
      <c r="B450" s="232" t="s">
        <v>226</v>
      </c>
      <c r="C450" s="530">
        <v>850</v>
      </c>
      <c r="D450" s="26">
        <f>'Функц. 2024-2026'!F154</f>
        <v>137.5</v>
      </c>
      <c r="E450" s="26">
        <f>'Функц. 2024-2026'!H154</f>
        <v>137.5</v>
      </c>
      <c r="F450" s="26">
        <f>'Функц. 2024-2026'!J154</f>
        <v>137.5</v>
      </c>
      <c r="G450" s="559">
        <f t="shared" si="126"/>
        <v>1</v>
      </c>
      <c r="H450" s="68"/>
    </row>
    <row r="451" spans="1:8" ht="31.5" x14ac:dyDescent="0.25">
      <c r="A451" s="201" t="s">
        <v>593</v>
      </c>
      <c r="B451" s="232" t="s">
        <v>592</v>
      </c>
      <c r="C451" s="530"/>
      <c r="D451" s="26">
        <f>D452+D454</f>
        <v>16676.599999999999</v>
      </c>
      <c r="E451" s="26">
        <f>E452+E454</f>
        <v>16676.599999999999</v>
      </c>
      <c r="F451" s="26">
        <f>F452+F454</f>
        <v>16607.599999999999</v>
      </c>
      <c r="G451" s="559">
        <f t="shared" si="126"/>
        <v>0.99586246597028172</v>
      </c>
      <c r="H451" s="68"/>
    </row>
    <row r="452" spans="1:8" ht="47.25" x14ac:dyDescent="0.25">
      <c r="A452" s="197" t="s">
        <v>41</v>
      </c>
      <c r="B452" s="232" t="s">
        <v>592</v>
      </c>
      <c r="C452" s="537" t="s">
        <v>127</v>
      </c>
      <c r="D452" s="26">
        <f>D453</f>
        <v>15781</v>
      </c>
      <c r="E452" s="26">
        <f>E453</f>
        <v>15781</v>
      </c>
      <c r="F452" s="26">
        <f>F453</f>
        <v>15781</v>
      </c>
      <c r="G452" s="559">
        <f t="shared" si="126"/>
        <v>1</v>
      </c>
      <c r="H452" s="68"/>
    </row>
    <row r="453" spans="1:8" x14ac:dyDescent="0.25">
      <c r="A453" s="197" t="s">
        <v>69</v>
      </c>
      <c r="B453" s="232" t="s">
        <v>592</v>
      </c>
      <c r="C453" s="537" t="s">
        <v>128</v>
      </c>
      <c r="D453" s="26">
        <f>'Функц. 2024-2026'!F157</f>
        <v>15781</v>
      </c>
      <c r="E453" s="26">
        <f>'Функц. 2024-2026'!H157</f>
        <v>15781</v>
      </c>
      <c r="F453" s="26">
        <f>'Функц. 2024-2026'!J157</f>
        <v>15781</v>
      </c>
      <c r="G453" s="559">
        <f t="shared" si="126"/>
        <v>1</v>
      </c>
      <c r="H453" s="68"/>
    </row>
    <row r="454" spans="1:8" x14ac:dyDescent="0.25">
      <c r="A454" s="197" t="s">
        <v>121</v>
      </c>
      <c r="B454" s="232" t="s">
        <v>592</v>
      </c>
      <c r="C454" s="537" t="s">
        <v>37</v>
      </c>
      <c r="D454" s="26">
        <f>D455</f>
        <v>895.59999999999991</v>
      </c>
      <c r="E454" s="26">
        <f>E455</f>
        <v>895.59999999999991</v>
      </c>
      <c r="F454" s="26">
        <f>F455</f>
        <v>826.6</v>
      </c>
      <c r="G454" s="559">
        <f t="shared" si="126"/>
        <v>0.92295667708798579</v>
      </c>
      <c r="H454" s="68"/>
    </row>
    <row r="455" spans="1:8" x14ac:dyDescent="0.25">
      <c r="A455" s="197" t="s">
        <v>52</v>
      </c>
      <c r="B455" s="232" t="s">
        <v>592</v>
      </c>
      <c r="C455" s="537" t="s">
        <v>66</v>
      </c>
      <c r="D455" s="26">
        <f>'Функц. 2024-2026'!F159</f>
        <v>895.59999999999991</v>
      </c>
      <c r="E455" s="26">
        <f>'Функц. 2024-2026'!H159</f>
        <v>895.59999999999991</v>
      </c>
      <c r="F455" s="26">
        <f>'Функц. 2024-2026'!J159</f>
        <v>826.6</v>
      </c>
      <c r="G455" s="559">
        <f t="shared" si="126"/>
        <v>0.92295667708798579</v>
      </c>
      <c r="H455" s="68"/>
    </row>
    <row r="456" spans="1:8" ht="31.5" x14ac:dyDescent="0.25">
      <c r="A456" s="218" t="s">
        <v>219</v>
      </c>
      <c r="B456" s="232" t="s">
        <v>220</v>
      </c>
      <c r="C456" s="458"/>
      <c r="D456" s="26">
        <f t="shared" ref="D456:F457" si="140">D457</f>
        <v>25689.599999999999</v>
      </c>
      <c r="E456" s="26">
        <f t="shared" si="140"/>
        <v>25689.599999999999</v>
      </c>
      <c r="F456" s="26">
        <f t="shared" si="140"/>
        <v>25689.599999999999</v>
      </c>
      <c r="G456" s="559">
        <f t="shared" si="126"/>
        <v>1</v>
      </c>
      <c r="H456" s="68"/>
    </row>
    <row r="457" spans="1:8" ht="31.5" x14ac:dyDescent="0.25">
      <c r="A457" s="216" t="s">
        <v>61</v>
      </c>
      <c r="B457" s="232" t="s">
        <v>220</v>
      </c>
      <c r="C457" s="530">
        <v>600</v>
      </c>
      <c r="D457" s="26">
        <f t="shared" si="140"/>
        <v>25689.599999999999</v>
      </c>
      <c r="E457" s="26">
        <f t="shared" si="140"/>
        <v>25689.599999999999</v>
      </c>
      <c r="F457" s="26">
        <f t="shared" si="140"/>
        <v>25689.599999999999</v>
      </c>
      <c r="G457" s="559">
        <f t="shared" si="126"/>
        <v>1</v>
      </c>
      <c r="H457" s="68"/>
    </row>
    <row r="458" spans="1:8" x14ac:dyDescent="0.25">
      <c r="A458" s="216" t="s">
        <v>62</v>
      </c>
      <c r="B458" s="232" t="s">
        <v>220</v>
      </c>
      <c r="C458" s="530">
        <v>610</v>
      </c>
      <c r="D458" s="26">
        <f>'Функц. 2024-2026'!F162</f>
        <v>25689.599999999999</v>
      </c>
      <c r="E458" s="26">
        <f>'Функц. 2024-2026'!H162</f>
        <v>25689.599999999999</v>
      </c>
      <c r="F458" s="26">
        <f>'Функц. 2024-2026'!J162</f>
        <v>25689.599999999999</v>
      </c>
      <c r="G458" s="559">
        <f t="shared" si="126"/>
        <v>1</v>
      </c>
      <c r="H458" s="68"/>
    </row>
    <row r="459" spans="1:8" ht="31.5" x14ac:dyDescent="0.25">
      <c r="A459" s="218" t="s">
        <v>205</v>
      </c>
      <c r="B459" s="232" t="s">
        <v>206</v>
      </c>
      <c r="C459" s="530"/>
      <c r="D459" s="26">
        <f>D460+D470+D465</f>
        <v>140035.5</v>
      </c>
      <c r="E459" s="26">
        <f>E460+E470+E465</f>
        <v>140035.5</v>
      </c>
      <c r="F459" s="26">
        <f>F460+F470+F465</f>
        <v>139811.1</v>
      </c>
      <c r="G459" s="559">
        <f t="shared" ref="G459:G522" si="141">F459/E459</f>
        <v>0.99839754919288326</v>
      </c>
      <c r="H459" s="68"/>
    </row>
    <row r="460" spans="1:8" ht="47.25" x14ac:dyDescent="0.25">
      <c r="A460" s="216" t="s">
        <v>221</v>
      </c>
      <c r="B460" s="232" t="s">
        <v>222</v>
      </c>
      <c r="C460" s="537"/>
      <c r="D460" s="26">
        <f>D461+D463</f>
        <v>81002.3</v>
      </c>
      <c r="E460" s="26">
        <f>E461+E463</f>
        <v>81002.3</v>
      </c>
      <c r="F460" s="26">
        <f>F461+F463</f>
        <v>80965</v>
      </c>
      <c r="G460" s="559">
        <f t="shared" si="141"/>
        <v>0.99953951924821882</v>
      </c>
      <c r="H460" s="68"/>
    </row>
    <row r="461" spans="1:8" ht="47.25" x14ac:dyDescent="0.25">
      <c r="A461" s="216" t="s">
        <v>41</v>
      </c>
      <c r="B461" s="232" t="s">
        <v>222</v>
      </c>
      <c r="C461" s="537" t="s">
        <v>127</v>
      </c>
      <c r="D461" s="26">
        <f>D462</f>
        <v>80301.3</v>
      </c>
      <c r="E461" s="26">
        <f>E462</f>
        <v>80301.3</v>
      </c>
      <c r="F461" s="26">
        <f>F462</f>
        <v>80291.399999999994</v>
      </c>
      <c r="G461" s="559">
        <f t="shared" si="141"/>
        <v>0.99987671432467462</v>
      </c>
      <c r="H461" s="68"/>
    </row>
    <row r="462" spans="1:8" x14ac:dyDescent="0.25">
      <c r="A462" s="216" t="s">
        <v>69</v>
      </c>
      <c r="B462" s="232" t="s">
        <v>222</v>
      </c>
      <c r="C462" s="537" t="s">
        <v>128</v>
      </c>
      <c r="D462" s="26">
        <f>'Функц. 2024-2026'!F166</f>
        <v>80301.3</v>
      </c>
      <c r="E462" s="26">
        <f>'Функц. 2024-2026'!H166</f>
        <v>80301.3</v>
      </c>
      <c r="F462" s="26">
        <f>'Функц. 2024-2026'!J166</f>
        <v>80291.399999999994</v>
      </c>
      <c r="G462" s="559">
        <f t="shared" si="141"/>
        <v>0.99987671432467462</v>
      </c>
      <c r="H462" s="68"/>
    </row>
    <row r="463" spans="1:8" x14ac:dyDescent="0.25">
      <c r="A463" s="216" t="s">
        <v>121</v>
      </c>
      <c r="B463" s="232" t="s">
        <v>222</v>
      </c>
      <c r="C463" s="537" t="s">
        <v>37</v>
      </c>
      <c r="D463" s="26">
        <f>D464</f>
        <v>701</v>
      </c>
      <c r="E463" s="26">
        <f>E464</f>
        <v>701</v>
      </c>
      <c r="F463" s="26">
        <f>F464</f>
        <v>673.6</v>
      </c>
      <c r="G463" s="559">
        <f t="shared" si="141"/>
        <v>0.96091298145506421</v>
      </c>
      <c r="H463" s="68"/>
    </row>
    <row r="464" spans="1:8" x14ac:dyDescent="0.25">
      <c r="A464" s="216" t="s">
        <v>52</v>
      </c>
      <c r="B464" s="232" t="s">
        <v>222</v>
      </c>
      <c r="C464" s="537" t="s">
        <v>66</v>
      </c>
      <c r="D464" s="26">
        <f>'Функц. 2024-2026'!F168</f>
        <v>701</v>
      </c>
      <c r="E464" s="29">
        <f>'Функц. 2024-2026'!H168</f>
        <v>701</v>
      </c>
      <c r="F464" s="29">
        <f>'Функц. 2024-2026'!J168</f>
        <v>673.6</v>
      </c>
      <c r="G464" s="559">
        <f t="shared" si="141"/>
        <v>0.96091298145506421</v>
      </c>
      <c r="H464" s="68"/>
    </row>
    <row r="465" spans="1:8" ht="47.25" x14ac:dyDescent="0.25">
      <c r="A465" s="216" t="s">
        <v>408</v>
      </c>
      <c r="B465" s="232" t="s">
        <v>409</v>
      </c>
      <c r="C465" s="537"/>
      <c r="D465" s="26">
        <f>D466+D468</f>
        <v>19853.300000000003</v>
      </c>
      <c r="E465" s="26">
        <f>E466+E468</f>
        <v>19853.300000000003</v>
      </c>
      <c r="F465" s="26">
        <f>F466+F468</f>
        <v>19666.2</v>
      </c>
      <c r="G465" s="559">
        <f t="shared" si="141"/>
        <v>0.9905758740360544</v>
      </c>
      <c r="H465" s="68"/>
    </row>
    <row r="466" spans="1:8" ht="47.25" x14ac:dyDescent="0.25">
      <c r="A466" s="216" t="s">
        <v>41</v>
      </c>
      <c r="B466" s="232" t="s">
        <v>409</v>
      </c>
      <c r="C466" s="537" t="s">
        <v>127</v>
      </c>
      <c r="D466" s="26">
        <f>D467</f>
        <v>18357.200000000004</v>
      </c>
      <c r="E466" s="26">
        <f>E467</f>
        <v>18357.200000000004</v>
      </c>
      <c r="F466" s="26">
        <f>F467</f>
        <v>18350.900000000001</v>
      </c>
      <c r="G466" s="559">
        <f t="shared" si="141"/>
        <v>0.99965681040681564</v>
      </c>
      <c r="H466" s="68"/>
    </row>
    <row r="467" spans="1:8" x14ac:dyDescent="0.25">
      <c r="A467" s="216" t="s">
        <v>69</v>
      </c>
      <c r="B467" s="232" t="s">
        <v>409</v>
      </c>
      <c r="C467" s="537" t="s">
        <v>128</v>
      </c>
      <c r="D467" s="26">
        <f>'Функц. 2024-2026'!F171</f>
        <v>18357.200000000004</v>
      </c>
      <c r="E467" s="26">
        <f>'Функц. 2024-2026'!H171</f>
        <v>18357.200000000004</v>
      </c>
      <c r="F467" s="26">
        <f>'Функц. 2024-2026'!J171</f>
        <v>18350.900000000001</v>
      </c>
      <c r="G467" s="559">
        <f t="shared" si="141"/>
        <v>0.99965681040681564</v>
      </c>
      <c r="H467" s="68"/>
    </row>
    <row r="468" spans="1:8" x14ac:dyDescent="0.25">
      <c r="A468" s="216" t="s">
        <v>121</v>
      </c>
      <c r="B468" s="232" t="s">
        <v>409</v>
      </c>
      <c r="C468" s="537" t="s">
        <v>37</v>
      </c>
      <c r="D468" s="26">
        <f>D469</f>
        <v>1496.1</v>
      </c>
      <c r="E468" s="26">
        <f>E469</f>
        <v>1496.1</v>
      </c>
      <c r="F468" s="26">
        <f>F469</f>
        <v>1315.3</v>
      </c>
      <c r="G468" s="559">
        <f t="shared" si="141"/>
        <v>0.87915246307065043</v>
      </c>
      <c r="H468" s="68"/>
    </row>
    <row r="469" spans="1:8" x14ac:dyDescent="0.25">
      <c r="A469" s="216" t="s">
        <v>52</v>
      </c>
      <c r="B469" s="232" t="s">
        <v>409</v>
      </c>
      <c r="C469" s="537" t="s">
        <v>66</v>
      </c>
      <c r="D469" s="26">
        <f>'Функц. 2024-2026'!F173</f>
        <v>1496.1</v>
      </c>
      <c r="E469" s="26">
        <f>'Функц. 2024-2026'!H173</f>
        <v>1496.1</v>
      </c>
      <c r="F469" s="26">
        <f>'Функц. 2024-2026'!J173</f>
        <v>1315.3</v>
      </c>
      <c r="G469" s="559">
        <f t="shared" si="141"/>
        <v>0.87915246307065043</v>
      </c>
      <c r="H469" s="68"/>
    </row>
    <row r="470" spans="1:8" ht="47.25" x14ac:dyDescent="0.25">
      <c r="A470" s="201" t="s">
        <v>388</v>
      </c>
      <c r="B470" s="232" t="s">
        <v>325</v>
      </c>
      <c r="C470" s="549"/>
      <c r="D470" s="26">
        <f t="shared" ref="D470:F471" si="142">D471</f>
        <v>39179.9</v>
      </c>
      <c r="E470" s="26">
        <f t="shared" si="142"/>
        <v>39179.9</v>
      </c>
      <c r="F470" s="26">
        <f t="shared" si="142"/>
        <v>39179.9</v>
      </c>
      <c r="G470" s="559">
        <f t="shared" si="141"/>
        <v>1</v>
      </c>
      <c r="H470" s="68"/>
    </row>
    <row r="471" spans="1:8" ht="31.5" x14ac:dyDescent="0.25">
      <c r="A471" s="288" t="s">
        <v>61</v>
      </c>
      <c r="B471" s="232" t="s">
        <v>325</v>
      </c>
      <c r="C471" s="549">
        <v>600</v>
      </c>
      <c r="D471" s="26">
        <f t="shared" si="142"/>
        <v>39179.9</v>
      </c>
      <c r="E471" s="26">
        <f t="shared" si="142"/>
        <v>39179.9</v>
      </c>
      <c r="F471" s="26">
        <f t="shared" si="142"/>
        <v>39179.9</v>
      </c>
      <c r="G471" s="559">
        <f t="shared" si="141"/>
        <v>1</v>
      </c>
      <c r="H471" s="68"/>
    </row>
    <row r="472" spans="1:8" x14ac:dyDescent="0.25">
      <c r="A472" s="288" t="s">
        <v>62</v>
      </c>
      <c r="B472" s="232" t="s">
        <v>325</v>
      </c>
      <c r="C472" s="549">
        <v>610</v>
      </c>
      <c r="D472" s="26">
        <f>'Функц. 2024-2026'!F296</f>
        <v>39179.9</v>
      </c>
      <c r="E472" s="26">
        <f>'Функц. 2024-2026'!H296</f>
        <v>39179.9</v>
      </c>
      <c r="F472" s="26">
        <f>'Функц. 2024-2026'!J296</f>
        <v>39179.9</v>
      </c>
      <c r="G472" s="559">
        <f t="shared" si="141"/>
        <v>1</v>
      </c>
      <c r="H472" s="68"/>
    </row>
    <row r="473" spans="1:8" ht="31.5" x14ac:dyDescent="0.25">
      <c r="A473" s="288" t="s">
        <v>572</v>
      </c>
      <c r="B473" s="232" t="s">
        <v>573</v>
      </c>
      <c r="C473" s="549"/>
      <c r="D473" s="26">
        <f t="shared" ref="D473:F475" si="143">D474</f>
        <v>468.9</v>
      </c>
      <c r="E473" s="26">
        <f t="shared" si="143"/>
        <v>468.9</v>
      </c>
      <c r="F473" s="26">
        <f t="shared" si="143"/>
        <v>448.8</v>
      </c>
      <c r="G473" s="559">
        <f t="shared" si="141"/>
        <v>0.95713371721049267</v>
      </c>
      <c r="H473" s="68"/>
    </row>
    <row r="474" spans="1:8" ht="78.75" x14ac:dyDescent="0.25">
      <c r="A474" s="288" t="s">
        <v>432</v>
      </c>
      <c r="B474" s="232" t="s">
        <v>574</v>
      </c>
      <c r="C474" s="549"/>
      <c r="D474" s="26">
        <f t="shared" si="143"/>
        <v>468.9</v>
      </c>
      <c r="E474" s="26">
        <f t="shared" si="143"/>
        <v>468.9</v>
      </c>
      <c r="F474" s="26">
        <f t="shared" si="143"/>
        <v>448.8</v>
      </c>
      <c r="G474" s="559">
        <f t="shared" si="141"/>
        <v>0.95713371721049267</v>
      </c>
      <c r="H474" s="68"/>
    </row>
    <row r="475" spans="1:8" x14ac:dyDescent="0.25">
      <c r="A475" s="197" t="s">
        <v>121</v>
      </c>
      <c r="B475" s="226" t="s">
        <v>574</v>
      </c>
      <c r="C475" s="530">
        <v>200</v>
      </c>
      <c r="D475" s="26">
        <f t="shared" si="143"/>
        <v>468.9</v>
      </c>
      <c r="E475" s="26">
        <f t="shared" si="143"/>
        <v>468.9</v>
      </c>
      <c r="F475" s="26">
        <f t="shared" si="143"/>
        <v>448.8</v>
      </c>
      <c r="G475" s="559">
        <f t="shared" si="141"/>
        <v>0.95713371721049267</v>
      </c>
      <c r="H475" s="68"/>
    </row>
    <row r="476" spans="1:8" x14ac:dyDescent="0.25">
      <c r="A476" s="197" t="s">
        <v>52</v>
      </c>
      <c r="B476" s="226" t="s">
        <v>574</v>
      </c>
      <c r="C476" s="530">
        <v>240</v>
      </c>
      <c r="D476" s="26">
        <f>'Функц. 2024-2026'!F70+'Функц. 2024-2026'!F102+'Функц. 2024-2026'!F516+'Функц. 2024-2026'!F25</f>
        <v>468.9</v>
      </c>
      <c r="E476" s="26">
        <f>'Функц. 2024-2026'!H70+'Функц. 2024-2026'!H102+'Функц. 2024-2026'!H516+'Функц. 2024-2026'!H25</f>
        <v>468.9</v>
      </c>
      <c r="F476" s="26">
        <f>'Функц. 2024-2026'!J70+'Функц. 2024-2026'!J102+'Функц. 2024-2026'!J516+'Функц. 2024-2026'!J25</f>
        <v>448.8</v>
      </c>
      <c r="G476" s="559">
        <f t="shared" si="141"/>
        <v>0.95713371721049267</v>
      </c>
      <c r="H476" s="68"/>
    </row>
    <row r="477" spans="1:8" ht="31.5" x14ac:dyDescent="0.25">
      <c r="A477" s="292" t="s">
        <v>306</v>
      </c>
      <c r="B477" s="323" t="s">
        <v>132</v>
      </c>
      <c r="C477" s="542"/>
      <c r="D477" s="454">
        <f>D478+D493+D504+D487</f>
        <v>20254.900000000001</v>
      </c>
      <c r="E477" s="454">
        <f>E478+E493+E504+E487</f>
        <v>20254.900000000001</v>
      </c>
      <c r="F477" s="454">
        <f>F478+F493+F504+F487</f>
        <v>20121.900000000001</v>
      </c>
      <c r="G477" s="558">
        <f t="shared" si="141"/>
        <v>0.99343368765088946</v>
      </c>
      <c r="H477" s="68"/>
    </row>
    <row r="478" spans="1:8" ht="47.25" x14ac:dyDescent="0.25">
      <c r="A478" s="214" t="s">
        <v>553</v>
      </c>
      <c r="B478" s="226" t="s">
        <v>308</v>
      </c>
      <c r="C478" s="530"/>
      <c r="D478" s="26">
        <f>D479+D483</f>
        <v>10708.1</v>
      </c>
      <c r="E478" s="26">
        <f>E479+E483</f>
        <v>10708.1</v>
      </c>
      <c r="F478" s="26">
        <f>F479+F483</f>
        <v>10579.6</v>
      </c>
      <c r="G478" s="559">
        <f t="shared" si="141"/>
        <v>0.98799973851570311</v>
      </c>
      <c r="H478" s="68"/>
    </row>
    <row r="479" spans="1:8" ht="31.5" x14ac:dyDescent="0.25">
      <c r="A479" s="215" t="s">
        <v>309</v>
      </c>
      <c r="B479" s="226" t="s">
        <v>310</v>
      </c>
      <c r="C479" s="530"/>
      <c r="D479" s="26">
        <f t="shared" ref="D479:F481" si="144">D480</f>
        <v>9138.6</v>
      </c>
      <c r="E479" s="26">
        <f t="shared" si="144"/>
        <v>9138.6</v>
      </c>
      <c r="F479" s="26">
        <f t="shared" si="144"/>
        <v>9125.1</v>
      </c>
      <c r="G479" s="559">
        <f t="shared" si="141"/>
        <v>0.99852274965530829</v>
      </c>
      <c r="H479" s="68"/>
    </row>
    <row r="480" spans="1:8" ht="94.5" x14ac:dyDescent="0.25">
      <c r="A480" s="200" t="s">
        <v>365</v>
      </c>
      <c r="B480" s="232" t="s">
        <v>311</v>
      </c>
      <c r="C480" s="530"/>
      <c r="D480" s="26">
        <f t="shared" si="144"/>
        <v>9138.6</v>
      </c>
      <c r="E480" s="26">
        <f t="shared" si="144"/>
        <v>9138.6</v>
      </c>
      <c r="F480" s="26">
        <f t="shared" si="144"/>
        <v>9125.1</v>
      </c>
      <c r="G480" s="559">
        <f t="shared" si="141"/>
        <v>0.99852274965530829</v>
      </c>
      <c r="H480" s="68"/>
    </row>
    <row r="481" spans="1:31" x14ac:dyDescent="0.25">
      <c r="A481" s="216" t="s">
        <v>121</v>
      </c>
      <c r="B481" s="232" t="s">
        <v>311</v>
      </c>
      <c r="C481" s="530">
        <v>200</v>
      </c>
      <c r="D481" s="26">
        <f t="shared" si="144"/>
        <v>9138.6</v>
      </c>
      <c r="E481" s="26">
        <f t="shared" si="144"/>
        <v>9138.6</v>
      </c>
      <c r="F481" s="26">
        <f t="shared" si="144"/>
        <v>9125.1</v>
      </c>
      <c r="G481" s="559">
        <f t="shared" si="141"/>
        <v>0.99852274965530829</v>
      </c>
      <c r="H481" s="68"/>
    </row>
    <row r="482" spans="1:31" x14ac:dyDescent="0.25">
      <c r="A482" s="216" t="s">
        <v>52</v>
      </c>
      <c r="B482" s="232" t="s">
        <v>311</v>
      </c>
      <c r="C482" s="530">
        <v>240</v>
      </c>
      <c r="D482" s="26">
        <f>'Функц. 2024-2026'!F76</f>
        <v>9138.6</v>
      </c>
      <c r="E482" s="26">
        <f>'Функц. 2024-2026'!H76</f>
        <v>9138.6</v>
      </c>
      <c r="F482" s="26">
        <f>'Функц. 2024-2026'!J76</f>
        <v>9125.1</v>
      </c>
      <c r="G482" s="559">
        <f t="shared" si="141"/>
        <v>0.99852274965530829</v>
      </c>
      <c r="H482" s="68"/>
    </row>
    <row r="483" spans="1:31" ht="24.75" customHeight="1" x14ac:dyDescent="0.25">
      <c r="A483" s="200" t="s">
        <v>312</v>
      </c>
      <c r="B483" s="226" t="s">
        <v>313</v>
      </c>
      <c r="C483" s="530"/>
      <c r="D483" s="26">
        <f t="shared" ref="D483:F485" si="145">D484</f>
        <v>1569.5</v>
      </c>
      <c r="E483" s="26">
        <f t="shared" si="145"/>
        <v>1569.5</v>
      </c>
      <c r="F483" s="26">
        <f t="shared" si="145"/>
        <v>1454.5</v>
      </c>
      <c r="G483" s="559">
        <f t="shared" si="141"/>
        <v>0.92672825740681741</v>
      </c>
      <c r="H483" s="68"/>
    </row>
    <row r="484" spans="1:31" ht="47.25" x14ac:dyDescent="0.25">
      <c r="A484" s="215" t="s">
        <v>369</v>
      </c>
      <c r="B484" s="226" t="s">
        <v>314</v>
      </c>
      <c r="C484" s="530"/>
      <c r="D484" s="26">
        <f t="shared" si="145"/>
        <v>1569.5</v>
      </c>
      <c r="E484" s="26">
        <f t="shared" si="145"/>
        <v>1569.5</v>
      </c>
      <c r="F484" s="26">
        <f t="shared" si="145"/>
        <v>1454.5</v>
      </c>
      <c r="G484" s="559">
        <f t="shared" si="141"/>
        <v>0.92672825740681741</v>
      </c>
      <c r="H484" s="68"/>
    </row>
    <row r="485" spans="1:31" x14ac:dyDescent="0.25">
      <c r="A485" s="216" t="s">
        <v>121</v>
      </c>
      <c r="B485" s="226" t="s">
        <v>314</v>
      </c>
      <c r="C485" s="530">
        <v>200</v>
      </c>
      <c r="D485" s="26">
        <f t="shared" si="145"/>
        <v>1569.5</v>
      </c>
      <c r="E485" s="26">
        <f t="shared" si="145"/>
        <v>1569.5</v>
      </c>
      <c r="F485" s="26">
        <f t="shared" si="145"/>
        <v>1454.5</v>
      </c>
      <c r="G485" s="559">
        <f t="shared" si="141"/>
        <v>0.92672825740681741</v>
      </c>
      <c r="H485" s="68"/>
    </row>
    <row r="486" spans="1:31" x14ac:dyDescent="0.25">
      <c r="A486" s="216" t="s">
        <v>52</v>
      </c>
      <c r="B486" s="226" t="s">
        <v>314</v>
      </c>
      <c r="C486" s="530">
        <v>240</v>
      </c>
      <c r="D486" s="26">
        <f>'Функц. 2024-2026'!F455</f>
        <v>1569.5</v>
      </c>
      <c r="E486" s="26">
        <f>'Функц. 2024-2026'!H455</f>
        <v>1569.5</v>
      </c>
      <c r="F486" s="26">
        <f>'Функц. 2024-2026'!J455</f>
        <v>1454.5</v>
      </c>
      <c r="G486" s="559">
        <f t="shared" si="141"/>
        <v>0.92672825740681741</v>
      </c>
      <c r="H486" s="68"/>
    </row>
    <row r="487" spans="1:31" x14ac:dyDescent="0.25">
      <c r="A487" s="347" t="s">
        <v>771</v>
      </c>
      <c r="B487" s="226" t="s">
        <v>772</v>
      </c>
      <c r="C487" s="531"/>
      <c r="D487" s="26">
        <f>D488</f>
        <v>3500</v>
      </c>
      <c r="E487" s="26">
        <f t="shared" ref="E487:F491" si="146">E488</f>
        <v>3500</v>
      </c>
      <c r="F487" s="26">
        <f t="shared" si="146"/>
        <v>3496</v>
      </c>
      <c r="G487" s="559">
        <f t="shared" si="141"/>
        <v>0.99885714285714289</v>
      </c>
      <c r="H487" s="68"/>
    </row>
    <row r="488" spans="1:31" x14ac:dyDescent="0.25">
      <c r="A488" s="347" t="s">
        <v>773</v>
      </c>
      <c r="B488" s="226" t="s">
        <v>774</v>
      </c>
      <c r="C488" s="531"/>
      <c r="D488" s="26">
        <f>D489</f>
        <v>3500</v>
      </c>
      <c r="E488" s="26">
        <f t="shared" si="146"/>
        <v>3500</v>
      </c>
      <c r="F488" s="26">
        <f t="shared" si="146"/>
        <v>3496</v>
      </c>
      <c r="G488" s="559">
        <f t="shared" si="141"/>
        <v>0.99885714285714289</v>
      </c>
      <c r="H488" s="26" t="e">
        <f>#REF!</f>
        <v>#REF!</v>
      </c>
      <c r="I488" s="26" t="e">
        <f>#REF!</f>
        <v>#REF!</v>
      </c>
      <c r="J488" s="26" t="e">
        <f>#REF!</f>
        <v>#REF!</v>
      </c>
      <c r="K488" s="26" t="e">
        <f>#REF!</f>
        <v>#REF!</v>
      </c>
      <c r="L488" s="26" t="e">
        <f>#REF!</f>
        <v>#REF!</v>
      </c>
      <c r="M488" s="26" t="e">
        <f>#REF!</f>
        <v>#REF!</v>
      </c>
      <c r="N488" s="26" t="e">
        <f>#REF!</f>
        <v>#REF!</v>
      </c>
      <c r="O488" s="26" t="e">
        <f>#REF!</f>
        <v>#REF!</v>
      </c>
      <c r="P488" s="26" t="e">
        <f>#REF!</f>
        <v>#REF!</v>
      </c>
      <c r="Q488" s="26" t="e">
        <f>#REF!</f>
        <v>#REF!</v>
      </c>
      <c r="R488" s="26" t="e">
        <f>#REF!</f>
        <v>#REF!</v>
      </c>
      <c r="S488" s="26" t="e">
        <f>#REF!</f>
        <v>#REF!</v>
      </c>
      <c r="T488" s="26" t="e">
        <f>#REF!</f>
        <v>#REF!</v>
      </c>
      <c r="U488" s="26" t="e">
        <f>#REF!</f>
        <v>#REF!</v>
      </c>
      <c r="V488" s="26" t="e">
        <f>#REF!</f>
        <v>#REF!</v>
      </c>
      <c r="W488" s="26" t="e">
        <f>#REF!</f>
        <v>#REF!</v>
      </c>
      <c r="X488" s="26" t="e">
        <f>#REF!</f>
        <v>#REF!</v>
      </c>
      <c r="Y488" s="26" t="e">
        <f>#REF!</f>
        <v>#REF!</v>
      </c>
      <c r="Z488" s="26" t="e">
        <f>#REF!</f>
        <v>#REF!</v>
      </c>
      <c r="AA488" s="26" t="e">
        <f>#REF!</f>
        <v>#REF!</v>
      </c>
      <c r="AB488" s="26" t="e">
        <f>#REF!</f>
        <v>#REF!</v>
      </c>
      <c r="AC488" s="26" t="e">
        <f>#REF!</f>
        <v>#REF!</v>
      </c>
      <c r="AD488" s="26" t="e">
        <f>#REF!</f>
        <v>#REF!</v>
      </c>
      <c r="AE488" s="489" t="e">
        <f>#REF!</f>
        <v>#REF!</v>
      </c>
    </row>
    <row r="489" spans="1:31" ht="31.5" x14ac:dyDescent="0.25">
      <c r="A489" s="347" t="s">
        <v>775</v>
      </c>
      <c r="B489" s="355" t="s">
        <v>776</v>
      </c>
      <c r="C489" s="531"/>
      <c r="D489" s="26">
        <f>D490</f>
        <v>3500</v>
      </c>
      <c r="E489" s="26">
        <f t="shared" ref="E489:F489" si="147">E490</f>
        <v>3500</v>
      </c>
      <c r="F489" s="26">
        <f t="shared" si="147"/>
        <v>3496</v>
      </c>
      <c r="G489" s="559">
        <f t="shared" si="141"/>
        <v>0.99885714285714289</v>
      </c>
      <c r="H489" s="101"/>
      <c r="I489" s="101"/>
      <c r="J489" s="101"/>
      <c r="K489" s="101"/>
      <c r="L489" s="101"/>
      <c r="M489" s="101"/>
      <c r="N489" s="101"/>
      <c r="O489" s="101"/>
      <c r="P489" s="101"/>
      <c r="Q489" s="101"/>
      <c r="R489" s="101"/>
      <c r="S489" s="101"/>
      <c r="T489" s="101"/>
      <c r="U489" s="101"/>
      <c r="V489" s="101"/>
      <c r="W489" s="101"/>
      <c r="X489" s="101"/>
      <c r="Y489" s="101"/>
      <c r="Z489" s="101"/>
      <c r="AA489" s="101"/>
      <c r="AB489" s="101"/>
      <c r="AC489" s="101"/>
      <c r="AD489" s="101"/>
      <c r="AE489" s="101"/>
    </row>
    <row r="490" spans="1:31" ht="47.25" x14ac:dyDescent="0.25">
      <c r="A490" s="347" t="s">
        <v>778</v>
      </c>
      <c r="B490" s="355" t="s">
        <v>779</v>
      </c>
      <c r="C490" s="531"/>
      <c r="D490" s="26">
        <f>D491</f>
        <v>3500</v>
      </c>
      <c r="E490" s="26">
        <f t="shared" si="146"/>
        <v>3500</v>
      </c>
      <c r="F490" s="26">
        <f t="shared" si="146"/>
        <v>3496</v>
      </c>
      <c r="G490" s="559">
        <f t="shared" si="141"/>
        <v>0.99885714285714289</v>
      </c>
      <c r="H490" s="68"/>
    </row>
    <row r="491" spans="1:31" ht="31.5" x14ac:dyDescent="0.25">
      <c r="A491" s="347" t="s">
        <v>61</v>
      </c>
      <c r="B491" s="355" t="s">
        <v>779</v>
      </c>
      <c r="C491" s="531">
        <v>600</v>
      </c>
      <c r="D491" s="26">
        <f>D492</f>
        <v>3500</v>
      </c>
      <c r="E491" s="26">
        <f t="shared" si="146"/>
        <v>3500</v>
      </c>
      <c r="F491" s="26">
        <f t="shared" si="146"/>
        <v>3496</v>
      </c>
      <c r="G491" s="559">
        <f t="shared" si="141"/>
        <v>0.99885714285714289</v>
      </c>
      <c r="H491" s="68"/>
    </row>
    <row r="492" spans="1:31" x14ac:dyDescent="0.25">
      <c r="A492" s="347" t="s">
        <v>62</v>
      </c>
      <c r="B492" s="355" t="s">
        <v>779</v>
      </c>
      <c r="C492" s="531">
        <v>610</v>
      </c>
      <c r="D492" s="26">
        <f>'Функц. 2024-2026'!F633</f>
        <v>3500</v>
      </c>
      <c r="E492" s="26">
        <f>'Функц. 2024-2026'!H633</f>
        <v>3500</v>
      </c>
      <c r="F492" s="26">
        <f>'Функц. 2024-2026'!J633</f>
        <v>3496</v>
      </c>
      <c r="G492" s="559">
        <f t="shared" si="141"/>
        <v>0.99885714285714289</v>
      </c>
      <c r="H492" s="68"/>
    </row>
    <row r="493" spans="1:31" x14ac:dyDescent="0.25">
      <c r="A493" s="214" t="s">
        <v>315</v>
      </c>
      <c r="B493" s="226" t="s">
        <v>316</v>
      </c>
      <c r="C493" s="530"/>
      <c r="D493" s="26">
        <f>D494+D500</f>
        <v>1746.9</v>
      </c>
      <c r="E493" s="26">
        <f>E494+E500</f>
        <v>1746.9</v>
      </c>
      <c r="F493" s="26">
        <f>F494+F500</f>
        <v>1746.3999999999999</v>
      </c>
      <c r="G493" s="559">
        <f t="shared" si="141"/>
        <v>0.99971377869368583</v>
      </c>
      <c r="H493" s="68"/>
    </row>
    <row r="494" spans="1:31" x14ac:dyDescent="0.25">
      <c r="A494" s="215" t="s">
        <v>551</v>
      </c>
      <c r="B494" s="226" t="s">
        <v>317</v>
      </c>
      <c r="C494" s="530"/>
      <c r="D494" s="26">
        <f t="shared" ref="D494:F496" si="148">D495</f>
        <v>708.2</v>
      </c>
      <c r="E494" s="26">
        <f t="shared" si="148"/>
        <v>708.2</v>
      </c>
      <c r="F494" s="26">
        <f t="shared" si="148"/>
        <v>707.8</v>
      </c>
      <c r="G494" s="559">
        <f t="shared" si="141"/>
        <v>0.99943518780005636</v>
      </c>
      <c r="H494" s="68"/>
    </row>
    <row r="495" spans="1:31" ht="31.5" x14ac:dyDescent="0.25">
      <c r="A495" s="200" t="s">
        <v>318</v>
      </c>
      <c r="B495" s="226" t="s">
        <v>319</v>
      </c>
      <c r="C495" s="530"/>
      <c r="D495" s="26">
        <f>D496+D498</f>
        <v>708.2</v>
      </c>
      <c r="E495" s="26">
        <f>E496+E498</f>
        <v>708.2</v>
      </c>
      <c r="F495" s="26">
        <f>F496+F498</f>
        <v>707.8</v>
      </c>
      <c r="G495" s="559">
        <f t="shared" si="141"/>
        <v>0.99943518780005636</v>
      </c>
      <c r="H495" s="68"/>
    </row>
    <row r="496" spans="1:31" x14ac:dyDescent="0.25">
      <c r="A496" s="216" t="s">
        <v>121</v>
      </c>
      <c r="B496" s="226" t="s">
        <v>319</v>
      </c>
      <c r="C496" s="530">
        <v>200</v>
      </c>
      <c r="D496" s="26">
        <f t="shared" si="148"/>
        <v>350</v>
      </c>
      <c r="E496" s="26">
        <f t="shared" si="148"/>
        <v>350</v>
      </c>
      <c r="F496" s="26">
        <f t="shared" si="148"/>
        <v>349.6</v>
      </c>
      <c r="G496" s="559">
        <f t="shared" si="141"/>
        <v>0.99885714285714289</v>
      </c>
      <c r="H496" s="68"/>
    </row>
    <row r="497" spans="1:8" x14ac:dyDescent="0.25">
      <c r="A497" s="216" t="s">
        <v>52</v>
      </c>
      <c r="B497" s="226" t="s">
        <v>319</v>
      </c>
      <c r="C497" s="530">
        <v>240</v>
      </c>
      <c r="D497" s="26">
        <f>'Функц. 2024-2026'!F692</f>
        <v>350</v>
      </c>
      <c r="E497" s="26">
        <f>'Функц. 2024-2026'!H692</f>
        <v>350</v>
      </c>
      <c r="F497" s="26">
        <f>'Функц. 2024-2026'!J692</f>
        <v>349.6</v>
      </c>
      <c r="G497" s="559">
        <f t="shared" si="141"/>
        <v>0.99885714285714289</v>
      </c>
      <c r="H497" s="68"/>
    </row>
    <row r="498" spans="1:8" ht="31.5" x14ac:dyDescent="0.25">
      <c r="A498" s="288" t="s">
        <v>61</v>
      </c>
      <c r="B498" s="226" t="s">
        <v>319</v>
      </c>
      <c r="C498" s="530">
        <v>600</v>
      </c>
      <c r="D498" s="26">
        <f>D499</f>
        <v>358.2</v>
      </c>
      <c r="E498" s="26">
        <f>E499</f>
        <v>358.2</v>
      </c>
      <c r="F498" s="26">
        <f>F499</f>
        <v>358.2</v>
      </c>
      <c r="G498" s="559">
        <f t="shared" si="141"/>
        <v>1</v>
      </c>
      <c r="H498" s="68"/>
    </row>
    <row r="499" spans="1:8" x14ac:dyDescent="0.25">
      <c r="A499" s="288" t="s">
        <v>62</v>
      </c>
      <c r="B499" s="226" t="s">
        <v>319</v>
      </c>
      <c r="C499" s="530">
        <v>610</v>
      </c>
      <c r="D499" s="26">
        <f>'Функц. 2024-2026'!F694</f>
        <v>358.2</v>
      </c>
      <c r="E499" s="26">
        <f>'Функц. 2024-2026'!H694</f>
        <v>358.2</v>
      </c>
      <c r="F499" s="26">
        <f>'Функц. 2024-2026'!J694</f>
        <v>358.2</v>
      </c>
      <c r="G499" s="559">
        <f t="shared" si="141"/>
        <v>1</v>
      </c>
      <c r="H499" s="68"/>
    </row>
    <row r="500" spans="1:8" ht="63" x14ac:dyDescent="0.25">
      <c r="A500" s="269" t="s">
        <v>618</v>
      </c>
      <c r="B500" s="284" t="s">
        <v>620</v>
      </c>
      <c r="C500" s="530"/>
      <c r="D500" s="26">
        <f t="shared" ref="D500:F502" si="149">D501</f>
        <v>1038.7</v>
      </c>
      <c r="E500" s="26">
        <f t="shared" si="149"/>
        <v>1038.7</v>
      </c>
      <c r="F500" s="26">
        <f t="shared" si="149"/>
        <v>1038.5999999999999</v>
      </c>
      <c r="G500" s="559">
        <f t="shared" si="141"/>
        <v>0.99990372581110987</v>
      </c>
      <c r="H500" s="68"/>
    </row>
    <row r="501" spans="1:8" ht="31.5" x14ac:dyDescent="0.25">
      <c r="A501" s="269" t="s">
        <v>619</v>
      </c>
      <c r="B501" s="284" t="s">
        <v>621</v>
      </c>
      <c r="C501" s="530"/>
      <c r="D501" s="26">
        <f t="shared" si="149"/>
        <v>1038.7</v>
      </c>
      <c r="E501" s="26">
        <f t="shared" si="149"/>
        <v>1038.7</v>
      </c>
      <c r="F501" s="26">
        <f t="shared" si="149"/>
        <v>1038.5999999999999</v>
      </c>
      <c r="G501" s="559">
        <f t="shared" si="141"/>
        <v>0.99990372581110987</v>
      </c>
      <c r="H501" s="68"/>
    </row>
    <row r="502" spans="1:8" ht="31.5" x14ac:dyDescent="0.25">
      <c r="A502" s="288" t="s">
        <v>61</v>
      </c>
      <c r="B502" s="284" t="s">
        <v>621</v>
      </c>
      <c r="C502" s="530">
        <v>600</v>
      </c>
      <c r="D502" s="26">
        <f t="shared" si="149"/>
        <v>1038.7</v>
      </c>
      <c r="E502" s="26">
        <f t="shared" si="149"/>
        <v>1038.7</v>
      </c>
      <c r="F502" s="26">
        <f t="shared" si="149"/>
        <v>1038.5999999999999</v>
      </c>
      <c r="G502" s="559">
        <f t="shared" si="141"/>
        <v>0.99990372581110987</v>
      </c>
      <c r="H502" s="68"/>
    </row>
    <row r="503" spans="1:8" x14ac:dyDescent="0.25">
      <c r="A503" s="288" t="s">
        <v>62</v>
      </c>
      <c r="B503" s="284" t="s">
        <v>621</v>
      </c>
      <c r="C503" s="530">
        <v>610</v>
      </c>
      <c r="D503" s="26">
        <f>'Функц. 2024-2026'!F698</f>
        <v>1038.7</v>
      </c>
      <c r="E503" s="26">
        <f>'Функц. 2024-2026'!H698</f>
        <v>1038.7</v>
      </c>
      <c r="F503" s="26">
        <f>'Функц. 2024-2026'!J698</f>
        <v>1038.5999999999999</v>
      </c>
      <c r="G503" s="559">
        <f t="shared" si="141"/>
        <v>0.99990372581110987</v>
      </c>
      <c r="H503" s="68"/>
    </row>
    <row r="504" spans="1:8" x14ac:dyDescent="0.25">
      <c r="A504" s="199" t="s">
        <v>47</v>
      </c>
      <c r="B504" s="226" t="s">
        <v>475</v>
      </c>
      <c r="C504" s="530"/>
      <c r="D504" s="26">
        <f>D505+D509</f>
        <v>4299.9000000000005</v>
      </c>
      <c r="E504" s="26">
        <f>E505+E509</f>
        <v>4299.9000000000005</v>
      </c>
      <c r="F504" s="26">
        <f>F505+F509</f>
        <v>4299.9000000000005</v>
      </c>
      <c r="G504" s="559">
        <f t="shared" si="141"/>
        <v>1</v>
      </c>
      <c r="H504" s="68"/>
    </row>
    <row r="505" spans="1:8" x14ac:dyDescent="0.25">
      <c r="A505" s="200" t="s">
        <v>488</v>
      </c>
      <c r="B505" s="226" t="s">
        <v>476</v>
      </c>
      <c r="C505" s="530"/>
      <c r="D505" s="26">
        <f t="shared" ref="D505:F507" si="150">D506</f>
        <v>4299.3</v>
      </c>
      <c r="E505" s="26">
        <f t="shared" si="150"/>
        <v>4299.3</v>
      </c>
      <c r="F505" s="26">
        <f t="shared" si="150"/>
        <v>4299.3</v>
      </c>
      <c r="G505" s="559">
        <f t="shared" si="141"/>
        <v>1</v>
      </c>
      <c r="H505" s="68"/>
    </row>
    <row r="506" spans="1:8" ht="31.5" x14ac:dyDescent="0.25">
      <c r="A506" s="199" t="s">
        <v>487</v>
      </c>
      <c r="B506" s="226" t="s">
        <v>483</v>
      </c>
      <c r="C506" s="533"/>
      <c r="D506" s="26">
        <f t="shared" si="150"/>
        <v>4299.3</v>
      </c>
      <c r="E506" s="26">
        <f t="shared" si="150"/>
        <v>4299.3</v>
      </c>
      <c r="F506" s="26">
        <f t="shared" si="150"/>
        <v>4299.3</v>
      </c>
      <c r="G506" s="559">
        <f t="shared" si="141"/>
        <v>1</v>
      </c>
      <c r="H506" s="68"/>
    </row>
    <row r="507" spans="1:8" ht="47.25" x14ac:dyDescent="0.25">
      <c r="A507" s="216" t="s">
        <v>41</v>
      </c>
      <c r="B507" s="226" t="s">
        <v>483</v>
      </c>
      <c r="C507" s="530">
        <v>100</v>
      </c>
      <c r="D507" s="26">
        <f t="shared" si="150"/>
        <v>4299.3</v>
      </c>
      <c r="E507" s="26">
        <f t="shared" si="150"/>
        <v>4299.3</v>
      </c>
      <c r="F507" s="26">
        <f t="shared" si="150"/>
        <v>4299.3</v>
      </c>
      <c r="G507" s="559">
        <f t="shared" si="141"/>
        <v>1</v>
      </c>
      <c r="H507" s="68"/>
    </row>
    <row r="508" spans="1:8" x14ac:dyDescent="0.25">
      <c r="A508" s="216" t="s">
        <v>97</v>
      </c>
      <c r="B508" s="226" t="s">
        <v>483</v>
      </c>
      <c r="C508" s="530">
        <v>120</v>
      </c>
      <c r="D508" s="26">
        <f>'Функц. 2024-2026'!F222</f>
        <v>4299.3</v>
      </c>
      <c r="E508" s="26">
        <f>'Функц. 2024-2026'!H222</f>
        <v>4299.3</v>
      </c>
      <c r="F508" s="26">
        <f>'Функц. 2024-2026'!J222</f>
        <v>4299.3</v>
      </c>
      <c r="G508" s="559">
        <f t="shared" si="141"/>
        <v>1</v>
      </c>
      <c r="H508" s="68"/>
    </row>
    <row r="509" spans="1:8" ht="31.5" x14ac:dyDescent="0.25">
      <c r="A509" s="215" t="s">
        <v>320</v>
      </c>
      <c r="B509" s="226" t="s">
        <v>484</v>
      </c>
      <c r="C509" s="530"/>
      <c r="D509" s="26">
        <f t="shared" ref="D509:F511" si="151">D510</f>
        <v>0.60000000000000009</v>
      </c>
      <c r="E509" s="26">
        <f t="shared" si="151"/>
        <v>0.60000000000000009</v>
      </c>
      <c r="F509" s="26">
        <f t="shared" si="151"/>
        <v>0.6</v>
      </c>
      <c r="G509" s="559">
        <f t="shared" si="141"/>
        <v>0.99999999999999978</v>
      </c>
      <c r="H509" s="68"/>
    </row>
    <row r="510" spans="1:8" ht="31.5" x14ac:dyDescent="0.25">
      <c r="A510" s="214" t="s">
        <v>486</v>
      </c>
      <c r="B510" s="226" t="s">
        <v>485</v>
      </c>
      <c r="C510" s="530"/>
      <c r="D510" s="26">
        <f t="shared" si="151"/>
        <v>0.60000000000000009</v>
      </c>
      <c r="E510" s="26">
        <f t="shared" si="151"/>
        <v>0.60000000000000009</v>
      </c>
      <c r="F510" s="26">
        <f t="shared" si="151"/>
        <v>0.6</v>
      </c>
      <c r="G510" s="559">
        <f t="shared" si="141"/>
        <v>0.99999999999999978</v>
      </c>
      <c r="H510" s="68"/>
    </row>
    <row r="511" spans="1:8" x14ac:dyDescent="0.25">
      <c r="A511" s="216" t="s">
        <v>121</v>
      </c>
      <c r="B511" s="226" t="s">
        <v>485</v>
      </c>
      <c r="C511" s="530">
        <v>200</v>
      </c>
      <c r="D511" s="26">
        <f t="shared" si="151"/>
        <v>0.60000000000000009</v>
      </c>
      <c r="E511" s="26">
        <f t="shared" si="151"/>
        <v>0.60000000000000009</v>
      </c>
      <c r="F511" s="26">
        <f t="shared" si="151"/>
        <v>0.6</v>
      </c>
      <c r="G511" s="559">
        <f t="shared" si="141"/>
        <v>0.99999999999999978</v>
      </c>
      <c r="H511" s="68"/>
    </row>
    <row r="512" spans="1:8" x14ac:dyDescent="0.25">
      <c r="A512" s="216" t="s">
        <v>52</v>
      </c>
      <c r="B512" s="226" t="s">
        <v>485</v>
      </c>
      <c r="C512" s="530">
        <v>240</v>
      </c>
      <c r="D512" s="26">
        <f>'Функц. 2024-2026'!F179</f>
        <v>0.60000000000000009</v>
      </c>
      <c r="E512" s="26">
        <f>'Функц. 2024-2026'!H179</f>
        <v>0.60000000000000009</v>
      </c>
      <c r="F512" s="26">
        <f>'Функц. 2024-2026'!J179</f>
        <v>0.6</v>
      </c>
      <c r="G512" s="559">
        <f t="shared" si="141"/>
        <v>0.99999999999999978</v>
      </c>
      <c r="H512" s="68"/>
    </row>
    <row r="513" spans="1:8" ht="31.5" x14ac:dyDescent="0.25">
      <c r="A513" s="291" t="s">
        <v>230</v>
      </c>
      <c r="B513" s="323" t="s">
        <v>231</v>
      </c>
      <c r="C513" s="542"/>
      <c r="D513" s="454">
        <f>D534+D514+D523</f>
        <v>96717.4</v>
      </c>
      <c r="E513" s="454">
        <f>E534+E514+E523</f>
        <v>96717.4</v>
      </c>
      <c r="F513" s="454">
        <f>F534+F514+F523</f>
        <v>92623.9</v>
      </c>
      <c r="G513" s="558">
        <f t="shared" si="141"/>
        <v>0.95767566125640269</v>
      </c>
      <c r="H513" s="68"/>
    </row>
    <row r="514" spans="1:8" x14ac:dyDescent="0.25">
      <c r="A514" s="217" t="s">
        <v>232</v>
      </c>
      <c r="B514" s="226" t="s">
        <v>233</v>
      </c>
      <c r="C514" s="530"/>
      <c r="D514" s="26">
        <f t="shared" ref="D514:F515" si="152">D515</f>
        <v>115</v>
      </c>
      <c r="E514" s="26">
        <f t="shared" si="152"/>
        <v>115</v>
      </c>
      <c r="F514" s="26">
        <f t="shared" si="152"/>
        <v>114.5</v>
      </c>
      <c r="G514" s="559">
        <f t="shared" si="141"/>
        <v>0.9956521739130435</v>
      </c>
      <c r="H514" s="68"/>
    </row>
    <row r="515" spans="1:8" x14ac:dyDescent="0.25">
      <c r="A515" s="218" t="s">
        <v>452</v>
      </c>
      <c r="B515" s="226" t="s">
        <v>351</v>
      </c>
      <c r="C515" s="530"/>
      <c r="D515" s="26">
        <f t="shared" si="152"/>
        <v>115</v>
      </c>
      <c r="E515" s="26">
        <f t="shared" si="152"/>
        <v>115</v>
      </c>
      <c r="F515" s="26">
        <f t="shared" si="152"/>
        <v>114.5</v>
      </c>
      <c r="G515" s="559">
        <f t="shared" si="141"/>
        <v>0.9956521739130435</v>
      </c>
      <c r="H515" s="68"/>
    </row>
    <row r="516" spans="1:8" ht="47.25" x14ac:dyDescent="0.25">
      <c r="A516" s="218" t="s">
        <v>234</v>
      </c>
      <c r="B516" s="226" t="s">
        <v>352</v>
      </c>
      <c r="C516" s="530"/>
      <c r="D516" s="26">
        <f>D517+D520</f>
        <v>115</v>
      </c>
      <c r="E516" s="26">
        <f>E517+E520</f>
        <v>115</v>
      </c>
      <c r="F516" s="26">
        <f>F517+F520</f>
        <v>114.5</v>
      </c>
      <c r="G516" s="559">
        <f t="shared" si="141"/>
        <v>0.9956521739130435</v>
      </c>
      <c r="H516" s="68"/>
    </row>
    <row r="517" spans="1:8" ht="47.25" x14ac:dyDescent="0.25">
      <c r="A517" s="218" t="s">
        <v>329</v>
      </c>
      <c r="B517" s="226" t="s">
        <v>353</v>
      </c>
      <c r="C517" s="530"/>
      <c r="D517" s="26">
        <f t="shared" ref="D517:F518" si="153">D518</f>
        <v>0.1</v>
      </c>
      <c r="E517" s="26">
        <f t="shared" si="153"/>
        <v>0.1</v>
      </c>
      <c r="F517" s="26">
        <f t="shared" si="153"/>
        <v>0</v>
      </c>
      <c r="G517" s="559">
        <f t="shared" si="141"/>
        <v>0</v>
      </c>
      <c r="H517" s="68"/>
    </row>
    <row r="518" spans="1:8" x14ac:dyDescent="0.25">
      <c r="A518" s="216" t="s">
        <v>121</v>
      </c>
      <c r="B518" s="226" t="s">
        <v>353</v>
      </c>
      <c r="C518" s="530">
        <v>200</v>
      </c>
      <c r="D518" s="26">
        <f t="shared" si="153"/>
        <v>0.1</v>
      </c>
      <c r="E518" s="26">
        <f t="shared" si="153"/>
        <v>0.1</v>
      </c>
      <c r="F518" s="26">
        <f t="shared" si="153"/>
        <v>0</v>
      </c>
      <c r="G518" s="559">
        <f t="shared" si="141"/>
        <v>0</v>
      </c>
      <c r="H518" s="68"/>
    </row>
    <row r="519" spans="1:8" x14ac:dyDescent="0.25">
      <c r="A519" s="216" t="s">
        <v>52</v>
      </c>
      <c r="B519" s="226" t="s">
        <v>353</v>
      </c>
      <c r="C519" s="530">
        <v>240</v>
      </c>
      <c r="D519" s="26">
        <f>'Функц. 2024-2026'!F302</f>
        <v>0.1</v>
      </c>
      <c r="E519" s="26">
        <f>'Функц. 2024-2026'!H302</f>
        <v>0.1</v>
      </c>
      <c r="F519" s="26">
        <f>'Функц. 2024-2026'!J302</f>
        <v>0</v>
      </c>
      <c r="G519" s="559">
        <f t="shared" si="141"/>
        <v>0</v>
      </c>
      <c r="H519" s="68"/>
    </row>
    <row r="520" spans="1:8" ht="47.25" x14ac:dyDescent="0.25">
      <c r="A520" s="216" t="s">
        <v>330</v>
      </c>
      <c r="B520" s="226" t="s">
        <v>354</v>
      </c>
      <c r="C520" s="530"/>
      <c r="D520" s="26">
        <f t="shared" ref="D520:F521" si="154">D521</f>
        <v>114.9</v>
      </c>
      <c r="E520" s="26">
        <f t="shared" si="154"/>
        <v>114.9</v>
      </c>
      <c r="F520" s="26">
        <f t="shared" si="154"/>
        <v>114.5</v>
      </c>
      <c r="G520" s="559">
        <f t="shared" si="141"/>
        <v>0.99651871192341157</v>
      </c>
      <c r="H520" s="68"/>
    </row>
    <row r="521" spans="1:8" x14ac:dyDescent="0.25">
      <c r="A521" s="216" t="s">
        <v>121</v>
      </c>
      <c r="B521" s="226" t="s">
        <v>354</v>
      </c>
      <c r="C521" s="530">
        <v>200</v>
      </c>
      <c r="D521" s="26">
        <f t="shared" si="154"/>
        <v>114.9</v>
      </c>
      <c r="E521" s="26">
        <f t="shared" si="154"/>
        <v>114.9</v>
      </c>
      <c r="F521" s="26">
        <f t="shared" si="154"/>
        <v>114.5</v>
      </c>
      <c r="G521" s="559">
        <f t="shared" si="141"/>
        <v>0.99651871192341157</v>
      </c>
      <c r="H521" s="68"/>
    </row>
    <row r="522" spans="1:8" x14ac:dyDescent="0.25">
      <c r="A522" s="216" t="s">
        <v>52</v>
      </c>
      <c r="B522" s="226" t="s">
        <v>354</v>
      </c>
      <c r="C522" s="530">
        <v>240</v>
      </c>
      <c r="D522" s="26">
        <f>'Функц. 2024-2026'!F306</f>
        <v>114.9</v>
      </c>
      <c r="E522" s="26">
        <f>'Функц. 2024-2026'!H306</f>
        <v>114.9</v>
      </c>
      <c r="F522" s="26">
        <f>'Функц. 2024-2026'!J306</f>
        <v>114.5</v>
      </c>
      <c r="G522" s="559">
        <f t="shared" si="141"/>
        <v>0.99651871192341157</v>
      </c>
      <c r="H522" s="68"/>
    </row>
    <row r="523" spans="1:8" x14ac:dyDescent="0.25">
      <c r="A523" s="217" t="s">
        <v>236</v>
      </c>
      <c r="B523" s="226" t="s">
        <v>237</v>
      </c>
      <c r="C523" s="530"/>
      <c r="D523" s="26">
        <f>D524</f>
        <v>76597.399999999994</v>
      </c>
      <c r="E523" s="26">
        <f>E524</f>
        <v>76597.399999999994</v>
      </c>
      <c r="F523" s="26">
        <f>F524</f>
        <v>72504.399999999994</v>
      </c>
      <c r="G523" s="559">
        <f t="shared" ref="G523:G586" si="155">F523/E523</f>
        <v>0.94656476590589234</v>
      </c>
      <c r="H523" s="68"/>
    </row>
    <row r="524" spans="1:8" ht="31.5" x14ac:dyDescent="0.25">
      <c r="A524" s="218" t="s">
        <v>235</v>
      </c>
      <c r="B524" s="226" t="s">
        <v>535</v>
      </c>
      <c r="C524" s="458"/>
      <c r="D524" s="26">
        <f>D528+D531+D525</f>
        <v>76597.399999999994</v>
      </c>
      <c r="E524" s="26">
        <f>E528+E531+E525</f>
        <v>76597.399999999994</v>
      </c>
      <c r="F524" s="26">
        <f>F528+F531+F525</f>
        <v>72504.399999999994</v>
      </c>
      <c r="G524" s="559">
        <f t="shared" si="155"/>
        <v>0.94656476590589234</v>
      </c>
      <c r="H524" s="68"/>
    </row>
    <row r="525" spans="1:8" ht="31.5" x14ac:dyDescent="0.25">
      <c r="A525" s="272" t="s">
        <v>373</v>
      </c>
      <c r="B525" s="226" t="s">
        <v>536</v>
      </c>
      <c r="C525" s="458"/>
      <c r="D525" s="26">
        <f t="shared" ref="D525:F526" si="156">D526</f>
        <v>1279.4000000000001</v>
      </c>
      <c r="E525" s="26">
        <f t="shared" si="156"/>
        <v>1279.4000000000001</v>
      </c>
      <c r="F525" s="26">
        <f t="shared" si="156"/>
        <v>1053.7</v>
      </c>
      <c r="G525" s="559">
        <f t="shared" si="155"/>
        <v>0.82358918242926371</v>
      </c>
      <c r="H525" s="68"/>
    </row>
    <row r="526" spans="1:8" x14ac:dyDescent="0.25">
      <c r="A526" s="197" t="s">
        <v>121</v>
      </c>
      <c r="B526" s="226" t="s">
        <v>536</v>
      </c>
      <c r="C526" s="530">
        <v>200</v>
      </c>
      <c r="D526" s="26">
        <f t="shared" si="156"/>
        <v>1279.4000000000001</v>
      </c>
      <c r="E526" s="26">
        <f t="shared" si="156"/>
        <v>1279.4000000000001</v>
      </c>
      <c r="F526" s="26">
        <f t="shared" si="156"/>
        <v>1053.7</v>
      </c>
      <c r="G526" s="559">
        <f t="shared" si="155"/>
        <v>0.82358918242926371</v>
      </c>
      <c r="H526" s="68"/>
    </row>
    <row r="527" spans="1:8" x14ac:dyDescent="0.25">
      <c r="A527" s="197" t="s">
        <v>52</v>
      </c>
      <c r="B527" s="226" t="s">
        <v>536</v>
      </c>
      <c r="C527" s="530">
        <v>240</v>
      </c>
      <c r="D527" s="26">
        <f>'Функц. 2024-2026'!F313</f>
        <v>1279.4000000000001</v>
      </c>
      <c r="E527" s="26">
        <f>'Функц. 2024-2026'!H313</f>
        <v>1279.4000000000001</v>
      </c>
      <c r="F527" s="26">
        <f>'Функц. 2024-2026'!J313</f>
        <v>1053.7</v>
      </c>
      <c r="G527" s="559">
        <f t="shared" si="155"/>
        <v>0.82358918242926371</v>
      </c>
      <c r="H527" s="68"/>
    </row>
    <row r="528" spans="1:8" x14ac:dyDescent="0.25">
      <c r="A528" s="201" t="s">
        <v>360</v>
      </c>
      <c r="B528" s="226" t="s">
        <v>537</v>
      </c>
      <c r="C528" s="530"/>
      <c r="D528" s="26">
        <f t="shared" ref="D528:F529" si="157">D529</f>
        <v>19950</v>
      </c>
      <c r="E528" s="26">
        <f t="shared" si="157"/>
        <v>19950</v>
      </c>
      <c r="F528" s="26">
        <f t="shared" si="157"/>
        <v>19728.599999999999</v>
      </c>
      <c r="G528" s="559">
        <f t="shared" si="155"/>
        <v>0.98890225563909762</v>
      </c>
      <c r="H528" s="68"/>
    </row>
    <row r="529" spans="1:31" x14ac:dyDescent="0.25">
      <c r="A529" s="216" t="s">
        <v>121</v>
      </c>
      <c r="B529" s="226" t="s">
        <v>537</v>
      </c>
      <c r="C529" s="530">
        <v>200</v>
      </c>
      <c r="D529" s="26">
        <f t="shared" si="157"/>
        <v>19950</v>
      </c>
      <c r="E529" s="26">
        <f t="shared" si="157"/>
        <v>19950</v>
      </c>
      <c r="F529" s="26">
        <f t="shared" si="157"/>
        <v>19728.599999999999</v>
      </c>
      <c r="G529" s="559">
        <f t="shared" si="155"/>
        <v>0.98890225563909762</v>
      </c>
      <c r="H529" s="68"/>
    </row>
    <row r="530" spans="1:31" x14ac:dyDescent="0.25">
      <c r="A530" s="216" t="s">
        <v>52</v>
      </c>
      <c r="B530" s="226" t="s">
        <v>537</v>
      </c>
      <c r="C530" s="530">
        <v>240</v>
      </c>
      <c r="D530" s="26">
        <f>'Функц. 2024-2026'!F316</f>
        <v>19950</v>
      </c>
      <c r="E530" s="26">
        <f>'Функц. 2024-2026'!H316</f>
        <v>19950</v>
      </c>
      <c r="F530" s="26">
        <f>'Функц. 2024-2026'!J316</f>
        <v>19728.599999999999</v>
      </c>
      <c r="G530" s="559">
        <f t="shared" si="155"/>
        <v>0.98890225563909762</v>
      </c>
      <c r="H530" s="68"/>
    </row>
    <row r="531" spans="1:31" x14ac:dyDescent="0.25">
      <c r="A531" s="218" t="s">
        <v>668</v>
      </c>
      <c r="B531" s="226" t="s">
        <v>667</v>
      </c>
      <c r="C531" s="530"/>
      <c r="D531" s="26">
        <f t="shared" ref="D531:F532" si="158">D532</f>
        <v>55368</v>
      </c>
      <c r="E531" s="26">
        <f t="shared" si="158"/>
        <v>55368</v>
      </c>
      <c r="F531" s="26">
        <f t="shared" si="158"/>
        <v>51722.1</v>
      </c>
      <c r="G531" s="559">
        <f t="shared" si="155"/>
        <v>0.93415149544863452</v>
      </c>
      <c r="H531" s="68"/>
    </row>
    <row r="532" spans="1:31" x14ac:dyDescent="0.25">
      <c r="A532" s="216" t="s">
        <v>121</v>
      </c>
      <c r="B532" s="226" t="s">
        <v>667</v>
      </c>
      <c r="C532" s="530">
        <v>200</v>
      </c>
      <c r="D532" s="26">
        <f t="shared" si="158"/>
        <v>55368</v>
      </c>
      <c r="E532" s="26">
        <f t="shared" si="158"/>
        <v>55368</v>
      </c>
      <c r="F532" s="26">
        <f t="shared" si="158"/>
        <v>51722.1</v>
      </c>
      <c r="G532" s="559">
        <f t="shared" si="155"/>
        <v>0.93415149544863452</v>
      </c>
      <c r="H532" s="68"/>
    </row>
    <row r="533" spans="1:31" x14ac:dyDescent="0.25">
      <c r="A533" s="216" t="s">
        <v>52</v>
      </c>
      <c r="B533" s="226" t="s">
        <v>667</v>
      </c>
      <c r="C533" s="530">
        <v>240</v>
      </c>
      <c r="D533" s="26">
        <f>'Функц. 2024-2026'!F319</f>
        <v>55368</v>
      </c>
      <c r="E533" s="26">
        <f>'Функц. 2024-2026'!H319</f>
        <v>55368</v>
      </c>
      <c r="F533" s="26">
        <f>'Функц. 2024-2026'!J319</f>
        <v>51722.1</v>
      </c>
      <c r="G533" s="559">
        <f t="shared" si="155"/>
        <v>0.93415149544863452</v>
      </c>
      <c r="H533" s="68"/>
    </row>
    <row r="534" spans="1:31" x14ac:dyDescent="0.25">
      <c r="A534" s="217" t="s">
        <v>47</v>
      </c>
      <c r="B534" s="226" t="s">
        <v>355</v>
      </c>
      <c r="C534" s="458"/>
      <c r="D534" s="26">
        <f t="shared" ref="D534:F537" si="159">D535</f>
        <v>20005</v>
      </c>
      <c r="E534" s="26">
        <f t="shared" si="159"/>
        <v>20005</v>
      </c>
      <c r="F534" s="26">
        <f t="shared" si="159"/>
        <v>20005</v>
      </c>
      <c r="G534" s="559">
        <f t="shared" si="155"/>
        <v>1</v>
      </c>
      <c r="H534" s="68"/>
    </row>
    <row r="535" spans="1:31" ht="31.5" x14ac:dyDescent="0.25">
      <c r="A535" s="217" t="s">
        <v>193</v>
      </c>
      <c r="B535" s="226" t="s">
        <v>356</v>
      </c>
      <c r="C535" s="530"/>
      <c r="D535" s="26">
        <f t="shared" si="159"/>
        <v>20005</v>
      </c>
      <c r="E535" s="26">
        <f t="shared" si="159"/>
        <v>20005</v>
      </c>
      <c r="F535" s="26">
        <f t="shared" si="159"/>
        <v>20005</v>
      </c>
      <c r="G535" s="559">
        <f t="shared" si="155"/>
        <v>1</v>
      </c>
      <c r="H535" s="68"/>
    </row>
    <row r="536" spans="1:31" ht="31.5" x14ac:dyDescent="0.25">
      <c r="A536" s="218" t="s">
        <v>328</v>
      </c>
      <c r="B536" s="226" t="s">
        <v>357</v>
      </c>
      <c r="C536" s="530"/>
      <c r="D536" s="26">
        <f t="shared" si="159"/>
        <v>20005</v>
      </c>
      <c r="E536" s="26">
        <f t="shared" si="159"/>
        <v>20005</v>
      </c>
      <c r="F536" s="26">
        <f t="shared" si="159"/>
        <v>20005</v>
      </c>
      <c r="G536" s="559">
        <f t="shared" si="155"/>
        <v>1</v>
      </c>
      <c r="H536" s="68"/>
    </row>
    <row r="537" spans="1:31" ht="31.5" x14ac:dyDescent="0.25">
      <c r="A537" s="288" t="s">
        <v>61</v>
      </c>
      <c r="B537" s="226" t="s">
        <v>357</v>
      </c>
      <c r="C537" s="530">
        <v>600</v>
      </c>
      <c r="D537" s="26">
        <f t="shared" si="159"/>
        <v>20005</v>
      </c>
      <c r="E537" s="26">
        <f t="shared" si="159"/>
        <v>20005</v>
      </c>
      <c r="F537" s="26">
        <f t="shared" si="159"/>
        <v>20005</v>
      </c>
      <c r="G537" s="559">
        <f t="shared" si="155"/>
        <v>1</v>
      </c>
      <c r="H537" s="68"/>
    </row>
    <row r="538" spans="1:31" x14ac:dyDescent="0.25">
      <c r="A538" s="288" t="s">
        <v>62</v>
      </c>
      <c r="B538" s="226" t="s">
        <v>357</v>
      </c>
      <c r="C538" s="530">
        <v>610</v>
      </c>
      <c r="D538" s="26">
        <f>'Функц. 2024-2026'!F324</f>
        <v>20005</v>
      </c>
      <c r="E538" s="26">
        <f>'Функц. 2024-2026'!H324</f>
        <v>20005</v>
      </c>
      <c r="F538" s="26">
        <f>'Функц. 2024-2026'!J324</f>
        <v>20005</v>
      </c>
      <c r="G538" s="559">
        <f t="shared" si="155"/>
        <v>1</v>
      </c>
      <c r="H538" s="68"/>
    </row>
    <row r="539" spans="1:31" x14ac:dyDescent="0.25">
      <c r="A539" s="291" t="s">
        <v>238</v>
      </c>
      <c r="B539" s="323" t="s">
        <v>239</v>
      </c>
      <c r="C539" s="542"/>
      <c r="D539" s="454">
        <f>D549+D540+D562</f>
        <v>57641</v>
      </c>
      <c r="E539" s="454">
        <f>E549+E540+E562</f>
        <v>57641</v>
      </c>
      <c r="F539" s="454">
        <f>F549+F540+F562</f>
        <v>57412</v>
      </c>
      <c r="G539" s="558">
        <f t="shared" si="155"/>
        <v>0.99602713346402738</v>
      </c>
      <c r="H539" s="68"/>
    </row>
    <row r="540" spans="1:31" ht="47.25" x14ac:dyDescent="0.25">
      <c r="A540" s="217" t="s">
        <v>575</v>
      </c>
      <c r="B540" s="226" t="s">
        <v>240</v>
      </c>
      <c r="C540" s="530"/>
      <c r="D540" s="26">
        <f>D545+D541</f>
        <v>2613</v>
      </c>
      <c r="E540" s="26">
        <f t="shared" ref="E540" si="160">E545+E541</f>
        <v>2613</v>
      </c>
      <c r="F540" s="26">
        <f t="shared" ref="F540:AE540" si="161">F545+F541</f>
        <v>2613</v>
      </c>
      <c r="G540" s="559">
        <f t="shared" si="155"/>
        <v>1</v>
      </c>
      <c r="H540" s="26">
        <f t="shared" si="161"/>
        <v>0</v>
      </c>
      <c r="I540" s="26">
        <f t="shared" si="161"/>
        <v>0</v>
      </c>
      <c r="J540" s="26">
        <f t="shared" si="161"/>
        <v>0</v>
      </c>
      <c r="K540" s="26">
        <f t="shared" si="161"/>
        <v>0</v>
      </c>
      <c r="L540" s="26">
        <f t="shared" si="161"/>
        <v>0</v>
      </c>
      <c r="M540" s="26">
        <f t="shared" si="161"/>
        <v>0</v>
      </c>
      <c r="N540" s="26">
        <f t="shared" si="161"/>
        <v>0</v>
      </c>
      <c r="O540" s="26">
        <f t="shared" si="161"/>
        <v>0</v>
      </c>
      <c r="P540" s="26">
        <f t="shared" si="161"/>
        <v>0</v>
      </c>
      <c r="Q540" s="26">
        <f t="shared" si="161"/>
        <v>0</v>
      </c>
      <c r="R540" s="26">
        <f t="shared" si="161"/>
        <v>0</v>
      </c>
      <c r="S540" s="26">
        <f t="shared" si="161"/>
        <v>0</v>
      </c>
      <c r="T540" s="26">
        <f t="shared" si="161"/>
        <v>0</v>
      </c>
      <c r="U540" s="26">
        <f t="shared" si="161"/>
        <v>0</v>
      </c>
      <c r="V540" s="26">
        <f t="shared" si="161"/>
        <v>0</v>
      </c>
      <c r="W540" s="26">
        <f t="shared" si="161"/>
        <v>0</v>
      </c>
      <c r="X540" s="26">
        <f t="shared" si="161"/>
        <v>0</v>
      </c>
      <c r="Y540" s="26">
        <f t="shared" si="161"/>
        <v>0</v>
      </c>
      <c r="Z540" s="26">
        <f t="shared" si="161"/>
        <v>0</v>
      </c>
      <c r="AA540" s="26">
        <f t="shared" si="161"/>
        <v>0</v>
      </c>
      <c r="AB540" s="26">
        <f t="shared" si="161"/>
        <v>0</v>
      </c>
      <c r="AC540" s="26">
        <f t="shared" si="161"/>
        <v>0</v>
      </c>
      <c r="AD540" s="26">
        <f t="shared" si="161"/>
        <v>0</v>
      </c>
      <c r="AE540" s="489">
        <f t="shared" si="161"/>
        <v>0</v>
      </c>
    </row>
    <row r="541" spans="1:31" ht="31.5" x14ac:dyDescent="0.25">
      <c r="A541" s="369" t="s">
        <v>817</v>
      </c>
      <c r="B541" s="355" t="s">
        <v>818</v>
      </c>
      <c r="C541" s="532"/>
      <c r="D541" s="26">
        <f>D542</f>
        <v>1768</v>
      </c>
      <c r="E541" s="26">
        <f t="shared" ref="E541:F543" si="162">E542</f>
        <v>1768</v>
      </c>
      <c r="F541" s="26">
        <f t="shared" si="162"/>
        <v>1768</v>
      </c>
      <c r="G541" s="559">
        <f t="shared" si="155"/>
        <v>1</v>
      </c>
      <c r="H541" s="68"/>
    </row>
    <row r="542" spans="1:31" ht="31.5" x14ac:dyDescent="0.25">
      <c r="A542" s="369" t="s">
        <v>815</v>
      </c>
      <c r="B542" s="355" t="s">
        <v>816</v>
      </c>
      <c r="C542" s="532"/>
      <c r="D542" s="26">
        <f>D543</f>
        <v>1768</v>
      </c>
      <c r="E542" s="26">
        <f t="shared" si="162"/>
        <v>1768</v>
      </c>
      <c r="F542" s="26">
        <f t="shared" si="162"/>
        <v>1768</v>
      </c>
      <c r="G542" s="559">
        <f t="shared" si="155"/>
        <v>1</v>
      </c>
      <c r="H542" s="68"/>
    </row>
    <row r="543" spans="1:31" ht="31.5" x14ac:dyDescent="0.25">
      <c r="A543" s="347" t="s">
        <v>61</v>
      </c>
      <c r="B543" s="355" t="s">
        <v>816</v>
      </c>
      <c r="C543" s="532">
        <v>600</v>
      </c>
      <c r="D543" s="26">
        <f>D544</f>
        <v>1768</v>
      </c>
      <c r="E543" s="26">
        <f t="shared" si="162"/>
        <v>1768</v>
      </c>
      <c r="F543" s="26">
        <f t="shared" si="162"/>
        <v>1768</v>
      </c>
      <c r="G543" s="559">
        <f t="shared" si="155"/>
        <v>1</v>
      </c>
      <c r="H543" s="68"/>
    </row>
    <row r="544" spans="1:31" x14ac:dyDescent="0.25">
      <c r="A544" s="347" t="s">
        <v>62</v>
      </c>
      <c r="B544" s="355" t="s">
        <v>816</v>
      </c>
      <c r="C544" s="532">
        <v>610</v>
      </c>
      <c r="D544" s="26">
        <f>'Функц. 2024-2026'!F185</f>
        <v>1768</v>
      </c>
      <c r="E544" s="26">
        <f>'Функц. 2024-2026'!H185</f>
        <v>1768</v>
      </c>
      <c r="F544" s="26">
        <f>'Функц. 2024-2026'!J185</f>
        <v>1768</v>
      </c>
      <c r="G544" s="559">
        <f t="shared" si="155"/>
        <v>1</v>
      </c>
      <c r="H544" s="68"/>
    </row>
    <row r="545" spans="1:8" ht="47.25" x14ac:dyDescent="0.25">
      <c r="A545" s="197" t="s">
        <v>421</v>
      </c>
      <c r="B545" s="226" t="s">
        <v>241</v>
      </c>
      <c r="C545" s="530"/>
      <c r="D545" s="26">
        <f t="shared" ref="D545:F547" si="163">D546</f>
        <v>845</v>
      </c>
      <c r="E545" s="26">
        <f t="shared" si="163"/>
        <v>845</v>
      </c>
      <c r="F545" s="26">
        <f t="shared" si="163"/>
        <v>845</v>
      </c>
      <c r="G545" s="559">
        <f t="shared" si="155"/>
        <v>1</v>
      </c>
      <c r="H545" s="68"/>
    </row>
    <row r="546" spans="1:8" ht="63" x14ac:dyDescent="0.25">
      <c r="A546" s="197" t="s">
        <v>669</v>
      </c>
      <c r="B546" s="226" t="s">
        <v>670</v>
      </c>
      <c r="C546" s="530"/>
      <c r="D546" s="26">
        <f t="shared" si="163"/>
        <v>845</v>
      </c>
      <c r="E546" s="26">
        <f t="shared" si="163"/>
        <v>845</v>
      </c>
      <c r="F546" s="26">
        <f t="shared" si="163"/>
        <v>845</v>
      </c>
      <c r="G546" s="559">
        <f t="shared" si="155"/>
        <v>1</v>
      </c>
      <c r="H546" s="68"/>
    </row>
    <row r="547" spans="1:8" ht="31.5" x14ac:dyDescent="0.25">
      <c r="A547" s="197" t="s">
        <v>61</v>
      </c>
      <c r="B547" s="226" t="s">
        <v>670</v>
      </c>
      <c r="C547" s="530">
        <v>600</v>
      </c>
      <c r="D547" s="26">
        <f t="shared" si="163"/>
        <v>845</v>
      </c>
      <c r="E547" s="26">
        <f t="shared" si="163"/>
        <v>845</v>
      </c>
      <c r="F547" s="26">
        <f t="shared" si="163"/>
        <v>845</v>
      </c>
      <c r="G547" s="559">
        <f t="shared" si="155"/>
        <v>1</v>
      </c>
      <c r="H547" s="68"/>
    </row>
    <row r="548" spans="1:8" x14ac:dyDescent="0.25">
      <c r="A548" s="197" t="s">
        <v>62</v>
      </c>
      <c r="B548" s="226" t="s">
        <v>670</v>
      </c>
      <c r="C548" s="530">
        <v>610</v>
      </c>
      <c r="D548" s="26">
        <f>'Функц. 2024-2026'!F189</f>
        <v>845</v>
      </c>
      <c r="E548" s="26">
        <f>'Функц. 2024-2026'!H189</f>
        <v>845</v>
      </c>
      <c r="F548" s="26">
        <f>'Функц. 2024-2026'!J189</f>
        <v>845</v>
      </c>
      <c r="G548" s="559">
        <f t="shared" si="155"/>
        <v>1</v>
      </c>
      <c r="H548" s="68"/>
    </row>
    <row r="549" spans="1:8" ht="31.5" x14ac:dyDescent="0.25">
      <c r="A549" s="217" t="s">
        <v>243</v>
      </c>
      <c r="B549" s="226" t="s">
        <v>244</v>
      </c>
      <c r="C549" s="547"/>
      <c r="D549" s="26">
        <f>D550+D558+D554</f>
        <v>5234.0999999999995</v>
      </c>
      <c r="E549" s="26">
        <f t="shared" ref="E549:F549" si="164">E550+E558+E554</f>
        <v>5234.0999999999995</v>
      </c>
      <c r="F549" s="26">
        <f t="shared" si="164"/>
        <v>5005.0999999999995</v>
      </c>
      <c r="G549" s="559">
        <f t="shared" si="155"/>
        <v>0.95624844767963924</v>
      </c>
      <c r="H549" s="68"/>
    </row>
    <row r="550" spans="1:8" x14ac:dyDescent="0.25">
      <c r="A550" s="202" t="s">
        <v>393</v>
      </c>
      <c r="B550" s="226" t="s">
        <v>394</v>
      </c>
      <c r="C550" s="547"/>
      <c r="D550" s="26">
        <f t="shared" ref="D550:F552" si="165">D551</f>
        <v>4811.2</v>
      </c>
      <c r="E550" s="26">
        <f t="shared" si="165"/>
        <v>4811.2</v>
      </c>
      <c r="F550" s="26">
        <f t="shared" si="165"/>
        <v>4616</v>
      </c>
      <c r="G550" s="559">
        <f t="shared" si="155"/>
        <v>0.95942800133022954</v>
      </c>
      <c r="H550" s="68"/>
    </row>
    <row r="551" spans="1:8" x14ac:dyDescent="0.25">
      <c r="A551" s="201" t="s">
        <v>395</v>
      </c>
      <c r="B551" s="226" t="s">
        <v>396</v>
      </c>
      <c r="C551" s="533"/>
      <c r="D551" s="26">
        <f t="shared" si="165"/>
        <v>4811.2</v>
      </c>
      <c r="E551" s="26">
        <f t="shared" si="165"/>
        <v>4811.2</v>
      </c>
      <c r="F551" s="26">
        <f t="shared" si="165"/>
        <v>4616</v>
      </c>
      <c r="G551" s="559">
        <f t="shared" si="155"/>
        <v>0.95942800133022954</v>
      </c>
      <c r="H551" s="68"/>
    </row>
    <row r="552" spans="1:8" x14ac:dyDescent="0.25">
      <c r="A552" s="197" t="s">
        <v>121</v>
      </c>
      <c r="B552" s="226" t="s">
        <v>396</v>
      </c>
      <c r="C552" s="530">
        <v>200</v>
      </c>
      <c r="D552" s="26">
        <f t="shared" si="165"/>
        <v>4811.2</v>
      </c>
      <c r="E552" s="26">
        <f t="shared" si="165"/>
        <v>4811.2</v>
      </c>
      <c r="F552" s="26">
        <f t="shared" si="165"/>
        <v>4616</v>
      </c>
      <c r="G552" s="559">
        <f t="shared" si="155"/>
        <v>0.95942800133022954</v>
      </c>
      <c r="H552" s="68"/>
    </row>
    <row r="553" spans="1:8" x14ac:dyDescent="0.25">
      <c r="A553" s="197" t="s">
        <v>52</v>
      </c>
      <c r="B553" s="226" t="s">
        <v>396</v>
      </c>
      <c r="C553" s="530">
        <v>240</v>
      </c>
      <c r="D553" s="26">
        <f>'Функц. 2024-2026'!F341</f>
        <v>4811.2</v>
      </c>
      <c r="E553" s="26">
        <f>'Функц. 2024-2026'!H341</f>
        <v>4811.2</v>
      </c>
      <c r="F553" s="26">
        <f>'Функц. 2024-2026'!J341</f>
        <v>4616</v>
      </c>
      <c r="G553" s="559">
        <f t="shared" si="155"/>
        <v>0.95942800133022954</v>
      </c>
      <c r="H553" s="68"/>
    </row>
    <row r="554" spans="1:8" x14ac:dyDescent="0.25">
      <c r="A554" s="202" t="s">
        <v>414</v>
      </c>
      <c r="B554" s="226" t="s">
        <v>415</v>
      </c>
      <c r="C554" s="530"/>
      <c r="D554" s="26">
        <f t="shared" ref="D554:F556" si="166">D555</f>
        <v>125.9</v>
      </c>
      <c r="E554" s="26">
        <f t="shared" si="166"/>
        <v>125.9</v>
      </c>
      <c r="F554" s="26">
        <f t="shared" si="166"/>
        <v>116.9</v>
      </c>
      <c r="G554" s="559">
        <f t="shared" si="155"/>
        <v>0.92851469420174737</v>
      </c>
      <c r="H554" s="68"/>
    </row>
    <row r="555" spans="1:8" x14ac:dyDescent="0.25">
      <c r="A555" s="201" t="s">
        <v>416</v>
      </c>
      <c r="B555" s="226" t="s">
        <v>417</v>
      </c>
      <c r="C555" s="530"/>
      <c r="D555" s="26">
        <f t="shared" si="166"/>
        <v>125.9</v>
      </c>
      <c r="E555" s="26">
        <f t="shared" si="166"/>
        <v>125.9</v>
      </c>
      <c r="F555" s="26">
        <f t="shared" si="166"/>
        <v>116.9</v>
      </c>
      <c r="G555" s="559">
        <f t="shared" si="155"/>
        <v>0.92851469420174737</v>
      </c>
      <c r="H555" s="68"/>
    </row>
    <row r="556" spans="1:8" x14ac:dyDescent="0.25">
      <c r="A556" s="197" t="s">
        <v>121</v>
      </c>
      <c r="B556" s="226" t="s">
        <v>417</v>
      </c>
      <c r="C556" s="530">
        <v>200</v>
      </c>
      <c r="D556" s="26">
        <f t="shared" si="166"/>
        <v>125.9</v>
      </c>
      <c r="E556" s="26">
        <f t="shared" si="166"/>
        <v>125.9</v>
      </c>
      <c r="F556" s="26">
        <f t="shared" si="166"/>
        <v>116.9</v>
      </c>
      <c r="G556" s="559">
        <f t="shared" si="155"/>
        <v>0.92851469420174737</v>
      </c>
      <c r="H556" s="68"/>
    </row>
    <row r="557" spans="1:8" x14ac:dyDescent="0.25">
      <c r="A557" s="197" t="s">
        <v>52</v>
      </c>
      <c r="B557" s="226" t="s">
        <v>417</v>
      </c>
      <c r="C557" s="530">
        <v>240</v>
      </c>
      <c r="D557" s="26">
        <f>'Функц. 2024-2026'!F345</f>
        <v>125.9</v>
      </c>
      <c r="E557" s="26">
        <f>'Функц. 2024-2026'!H345</f>
        <v>125.9</v>
      </c>
      <c r="F557" s="26">
        <f>'Функц. 2024-2026'!J345</f>
        <v>116.9</v>
      </c>
      <c r="G557" s="559">
        <f t="shared" si="155"/>
        <v>0.92851469420174737</v>
      </c>
      <c r="H557" s="68"/>
    </row>
    <row r="558" spans="1:8" x14ac:dyDescent="0.25">
      <c r="A558" s="202" t="s">
        <v>397</v>
      </c>
      <c r="B558" s="226" t="s">
        <v>398</v>
      </c>
      <c r="C558" s="530"/>
      <c r="D558" s="26">
        <f t="shared" ref="D558:F560" si="167">D559</f>
        <v>297</v>
      </c>
      <c r="E558" s="26">
        <f t="shared" si="167"/>
        <v>297</v>
      </c>
      <c r="F558" s="26">
        <f t="shared" si="167"/>
        <v>272.2</v>
      </c>
      <c r="G558" s="559">
        <f t="shared" si="155"/>
        <v>0.91649831649831648</v>
      </c>
      <c r="H558" s="68"/>
    </row>
    <row r="559" spans="1:8" x14ac:dyDescent="0.25">
      <c r="A559" s="201" t="s">
        <v>399</v>
      </c>
      <c r="B559" s="226" t="s">
        <v>400</v>
      </c>
      <c r="C559" s="530"/>
      <c r="D559" s="26">
        <f t="shared" si="167"/>
        <v>297</v>
      </c>
      <c r="E559" s="26">
        <f t="shared" si="167"/>
        <v>297</v>
      </c>
      <c r="F559" s="26">
        <f t="shared" si="167"/>
        <v>272.2</v>
      </c>
      <c r="G559" s="559">
        <f t="shared" si="155"/>
        <v>0.91649831649831648</v>
      </c>
      <c r="H559" s="68"/>
    </row>
    <row r="560" spans="1:8" x14ac:dyDescent="0.25">
      <c r="A560" s="197" t="s">
        <v>121</v>
      </c>
      <c r="B560" s="226" t="s">
        <v>400</v>
      </c>
      <c r="C560" s="530">
        <v>200</v>
      </c>
      <c r="D560" s="26">
        <f t="shared" si="167"/>
        <v>297</v>
      </c>
      <c r="E560" s="26">
        <f t="shared" si="167"/>
        <v>297</v>
      </c>
      <c r="F560" s="26">
        <f t="shared" si="167"/>
        <v>272.2</v>
      </c>
      <c r="G560" s="559">
        <f t="shared" si="155"/>
        <v>0.91649831649831648</v>
      </c>
      <c r="H560" s="68"/>
    </row>
    <row r="561" spans="1:8" x14ac:dyDescent="0.25">
      <c r="A561" s="197" t="s">
        <v>52</v>
      </c>
      <c r="B561" s="226" t="s">
        <v>400</v>
      </c>
      <c r="C561" s="530">
        <v>240</v>
      </c>
      <c r="D561" s="26">
        <f>'Функц. 2024-2026'!F349</f>
        <v>297</v>
      </c>
      <c r="E561" s="26">
        <f>'Функц. 2024-2026'!H349</f>
        <v>297</v>
      </c>
      <c r="F561" s="26">
        <f>'Функц. 2024-2026'!J349</f>
        <v>272.2</v>
      </c>
      <c r="G561" s="559">
        <f t="shared" si="155"/>
        <v>0.91649831649831648</v>
      </c>
      <c r="H561" s="68"/>
    </row>
    <row r="562" spans="1:8" x14ac:dyDescent="0.25">
      <c r="A562" s="197" t="s">
        <v>47</v>
      </c>
      <c r="B562" s="226" t="s">
        <v>576</v>
      </c>
      <c r="C562" s="458"/>
      <c r="D562" s="26">
        <f t="shared" ref="D562:F565" si="168">D563</f>
        <v>49793.9</v>
      </c>
      <c r="E562" s="26">
        <f t="shared" si="168"/>
        <v>49793.9</v>
      </c>
      <c r="F562" s="26">
        <f t="shared" si="168"/>
        <v>49793.9</v>
      </c>
      <c r="G562" s="559">
        <f t="shared" si="155"/>
        <v>1</v>
      </c>
      <c r="H562" s="68"/>
    </row>
    <row r="563" spans="1:8" ht="31.5" x14ac:dyDescent="0.25">
      <c r="A563" s="197" t="s">
        <v>339</v>
      </c>
      <c r="B563" s="226" t="s">
        <v>577</v>
      </c>
      <c r="C563" s="458"/>
      <c r="D563" s="26">
        <f t="shared" si="168"/>
        <v>49793.9</v>
      </c>
      <c r="E563" s="26">
        <f t="shared" si="168"/>
        <v>49793.9</v>
      </c>
      <c r="F563" s="26">
        <f t="shared" si="168"/>
        <v>49793.9</v>
      </c>
      <c r="G563" s="559">
        <f t="shared" si="155"/>
        <v>1</v>
      </c>
      <c r="H563" s="68"/>
    </row>
    <row r="564" spans="1:8" ht="31.5" x14ac:dyDescent="0.25">
      <c r="A564" s="197" t="s">
        <v>242</v>
      </c>
      <c r="B564" s="226" t="s">
        <v>578</v>
      </c>
      <c r="C564" s="458"/>
      <c r="D564" s="26">
        <f t="shared" si="168"/>
        <v>49793.9</v>
      </c>
      <c r="E564" s="26">
        <f t="shared" si="168"/>
        <v>49793.9</v>
      </c>
      <c r="F564" s="26">
        <f t="shared" si="168"/>
        <v>49793.9</v>
      </c>
      <c r="G564" s="559">
        <f t="shared" si="155"/>
        <v>1</v>
      </c>
      <c r="H564" s="68"/>
    </row>
    <row r="565" spans="1:8" ht="31.5" x14ac:dyDescent="0.25">
      <c r="A565" s="197" t="s">
        <v>61</v>
      </c>
      <c r="B565" s="226" t="s">
        <v>578</v>
      </c>
      <c r="C565" s="458">
        <v>600</v>
      </c>
      <c r="D565" s="26">
        <f t="shared" si="168"/>
        <v>49793.9</v>
      </c>
      <c r="E565" s="26">
        <f t="shared" si="168"/>
        <v>49793.9</v>
      </c>
      <c r="F565" s="26">
        <f t="shared" si="168"/>
        <v>49793.9</v>
      </c>
      <c r="G565" s="559">
        <f t="shared" si="155"/>
        <v>1</v>
      </c>
      <c r="H565" s="68"/>
    </row>
    <row r="566" spans="1:8" s="5" customFormat="1" x14ac:dyDescent="0.25">
      <c r="A566" s="197" t="s">
        <v>62</v>
      </c>
      <c r="B566" s="226" t="s">
        <v>578</v>
      </c>
      <c r="C566" s="458">
        <v>610</v>
      </c>
      <c r="D566" s="26">
        <f>'Функц. 2024-2026'!F194</f>
        <v>49793.9</v>
      </c>
      <c r="E566" s="26">
        <f>'Функц. 2024-2026'!H194</f>
        <v>49793.9</v>
      </c>
      <c r="F566" s="26">
        <f>'Функц. 2024-2026'!J194</f>
        <v>49793.9</v>
      </c>
      <c r="G566" s="559">
        <f t="shared" si="155"/>
        <v>1</v>
      </c>
      <c r="H566" s="225"/>
    </row>
    <row r="567" spans="1:8" x14ac:dyDescent="0.25">
      <c r="A567" s="292" t="s">
        <v>256</v>
      </c>
      <c r="B567" s="323" t="s">
        <v>257</v>
      </c>
      <c r="C567" s="542"/>
      <c r="D567" s="454">
        <f t="shared" ref="D567:F568" si="169">D568</f>
        <v>2920</v>
      </c>
      <c r="E567" s="454">
        <f t="shared" si="169"/>
        <v>2920</v>
      </c>
      <c r="F567" s="454">
        <f t="shared" si="169"/>
        <v>2920</v>
      </c>
      <c r="G567" s="558">
        <f t="shared" si="155"/>
        <v>1</v>
      </c>
      <c r="H567" s="68"/>
    </row>
    <row r="568" spans="1:8" x14ac:dyDescent="0.25">
      <c r="A568" s="214" t="s">
        <v>406</v>
      </c>
      <c r="B568" s="226" t="s">
        <v>258</v>
      </c>
      <c r="C568" s="458"/>
      <c r="D568" s="26">
        <f t="shared" si="169"/>
        <v>2920</v>
      </c>
      <c r="E568" s="26">
        <f t="shared" si="169"/>
        <v>2920</v>
      </c>
      <c r="F568" s="26">
        <f t="shared" si="169"/>
        <v>2920</v>
      </c>
      <c r="G568" s="559">
        <f t="shared" si="155"/>
        <v>1</v>
      </c>
      <c r="H568" s="68"/>
    </row>
    <row r="569" spans="1:8" ht="31.5" x14ac:dyDescent="0.25">
      <c r="A569" s="214" t="s">
        <v>681</v>
      </c>
      <c r="B569" s="226" t="s">
        <v>678</v>
      </c>
      <c r="C569" s="530"/>
      <c r="D569" s="26">
        <f t="shared" ref="D569:F570" si="170">D570</f>
        <v>2920</v>
      </c>
      <c r="E569" s="26">
        <f t="shared" si="170"/>
        <v>2920</v>
      </c>
      <c r="F569" s="26">
        <f t="shared" si="170"/>
        <v>2920</v>
      </c>
      <c r="G569" s="559">
        <f t="shared" si="155"/>
        <v>1</v>
      </c>
      <c r="H569" s="68"/>
    </row>
    <row r="570" spans="1:8" ht="31.5" x14ac:dyDescent="0.25">
      <c r="A570" s="199" t="s">
        <v>680</v>
      </c>
      <c r="B570" s="226" t="s">
        <v>679</v>
      </c>
      <c r="C570" s="530"/>
      <c r="D570" s="26">
        <f>D571</f>
        <v>2920</v>
      </c>
      <c r="E570" s="26">
        <f t="shared" si="170"/>
        <v>2920</v>
      </c>
      <c r="F570" s="26">
        <f t="shared" si="170"/>
        <v>2920</v>
      </c>
      <c r="G570" s="559">
        <f t="shared" si="155"/>
        <v>1</v>
      </c>
      <c r="H570" s="68"/>
    </row>
    <row r="571" spans="1:8" x14ac:dyDescent="0.25">
      <c r="A571" s="216" t="s">
        <v>121</v>
      </c>
      <c r="B571" s="226" t="s">
        <v>679</v>
      </c>
      <c r="C571" s="530">
        <v>200</v>
      </c>
      <c r="D571" s="26">
        <f>D572</f>
        <v>2920</v>
      </c>
      <c r="E571" s="26">
        <f>E572</f>
        <v>2920</v>
      </c>
      <c r="F571" s="26">
        <f>F572</f>
        <v>2920</v>
      </c>
      <c r="G571" s="559">
        <f t="shared" si="155"/>
        <v>1</v>
      </c>
      <c r="H571" s="68"/>
    </row>
    <row r="572" spans="1:8" x14ac:dyDescent="0.25">
      <c r="A572" s="216" t="s">
        <v>52</v>
      </c>
      <c r="B572" s="226" t="s">
        <v>679</v>
      </c>
      <c r="C572" s="530">
        <v>240</v>
      </c>
      <c r="D572" s="26">
        <f>'Функц. 2024-2026'!F461</f>
        <v>2920</v>
      </c>
      <c r="E572" s="26">
        <f>'Функц. 2024-2026'!H461</f>
        <v>2920</v>
      </c>
      <c r="F572" s="26">
        <f>'Функц. 2024-2026'!J461</f>
        <v>2920</v>
      </c>
      <c r="G572" s="559">
        <f t="shared" si="155"/>
        <v>1</v>
      </c>
      <c r="H572" s="68"/>
    </row>
    <row r="573" spans="1:8" x14ac:dyDescent="0.25">
      <c r="A573" s="291" t="s">
        <v>249</v>
      </c>
      <c r="B573" s="323" t="s">
        <v>250</v>
      </c>
      <c r="C573" s="550"/>
      <c r="D573" s="454">
        <f>D594+D646+D574</f>
        <v>1122579.4000000001</v>
      </c>
      <c r="E573" s="454">
        <f>E594+E646+E574</f>
        <v>1122579</v>
      </c>
      <c r="F573" s="454">
        <f>F594+F646+F574</f>
        <v>1101101.3</v>
      </c>
      <c r="G573" s="558">
        <f t="shared" si="155"/>
        <v>0.9808675380530012</v>
      </c>
      <c r="H573" s="68"/>
    </row>
    <row r="574" spans="1:8" x14ac:dyDescent="0.25">
      <c r="A574" s="202" t="s">
        <v>389</v>
      </c>
      <c r="B574" s="226" t="s">
        <v>390</v>
      </c>
      <c r="C574" s="550"/>
      <c r="D574" s="26">
        <f>D575+D590</f>
        <v>753587.3</v>
      </c>
      <c r="E574" s="26">
        <f t="shared" ref="E574:F574" si="171">E575+E590</f>
        <v>753587.19999999995</v>
      </c>
      <c r="F574" s="26">
        <f t="shared" si="171"/>
        <v>743983.70000000007</v>
      </c>
      <c r="G574" s="559">
        <f t="shared" si="155"/>
        <v>0.98725628566939583</v>
      </c>
      <c r="H574" s="68"/>
    </row>
    <row r="575" spans="1:8" ht="31.5" x14ac:dyDescent="0.25">
      <c r="A575" s="202" t="s">
        <v>418</v>
      </c>
      <c r="B575" s="226" t="s">
        <v>419</v>
      </c>
      <c r="C575" s="537"/>
      <c r="D575" s="26">
        <f>D584+D587+D576+D581</f>
        <v>448593.2</v>
      </c>
      <c r="E575" s="26">
        <f t="shared" ref="E575:F575" si="172">E584+E587+E576+E581</f>
        <v>448593.10000000003</v>
      </c>
      <c r="F575" s="26">
        <f t="shared" si="172"/>
        <v>448468.00000000006</v>
      </c>
      <c r="G575" s="559">
        <f t="shared" si="155"/>
        <v>0.99972112812256819</v>
      </c>
      <c r="H575" s="68"/>
    </row>
    <row r="576" spans="1:8" ht="31.5" x14ac:dyDescent="0.25">
      <c r="A576" s="202" t="s">
        <v>654</v>
      </c>
      <c r="B576" s="226" t="s">
        <v>655</v>
      </c>
      <c r="C576" s="537"/>
      <c r="D576" s="26">
        <f>D577+D579</f>
        <v>500</v>
      </c>
      <c r="E576" s="26">
        <f t="shared" ref="E576:F576" si="173">E577+E579</f>
        <v>500</v>
      </c>
      <c r="F576" s="26">
        <f t="shared" si="173"/>
        <v>422.7</v>
      </c>
      <c r="G576" s="559">
        <f t="shared" si="155"/>
        <v>0.84539999999999993</v>
      </c>
      <c r="H576" s="68"/>
    </row>
    <row r="577" spans="1:8" x14ac:dyDescent="0.25">
      <c r="A577" s="197" t="s">
        <v>121</v>
      </c>
      <c r="B577" s="226" t="s">
        <v>655</v>
      </c>
      <c r="C577" s="537" t="s">
        <v>37</v>
      </c>
      <c r="D577" s="26">
        <f>D578</f>
        <v>200</v>
      </c>
      <c r="E577" s="26">
        <f t="shared" ref="E577:F577" si="174">E578</f>
        <v>200</v>
      </c>
      <c r="F577" s="26">
        <f t="shared" si="174"/>
        <v>122.7</v>
      </c>
      <c r="G577" s="559">
        <f t="shared" si="155"/>
        <v>0.61350000000000005</v>
      </c>
      <c r="H577" s="68"/>
    </row>
    <row r="578" spans="1:8" x14ac:dyDescent="0.25">
      <c r="A578" s="197" t="s">
        <v>52</v>
      </c>
      <c r="B578" s="226" t="s">
        <v>655</v>
      </c>
      <c r="C578" s="537" t="s">
        <v>66</v>
      </c>
      <c r="D578" s="26">
        <f>'Функц. 2024-2026'!F467</f>
        <v>200</v>
      </c>
      <c r="E578" s="108">
        <f>'Функц. 2024-2026'!H467</f>
        <v>200</v>
      </c>
      <c r="F578" s="108">
        <f>'Функц. 2024-2026'!J467</f>
        <v>122.7</v>
      </c>
      <c r="G578" s="559">
        <f t="shared" si="155"/>
        <v>0.61350000000000005</v>
      </c>
      <c r="H578" s="68"/>
    </row>
    <row r="579" spans="1:8" ht="31.5" x14ac:dyDescent="0.25">
      <c r="A579" s="268" t="s">
        <v>61</v>
      </c>
      <c r="B579" s="226" t="s">
        <v>655</v>
      </c>
      <c r="C579" s="537" t="s">
        <v>411</v>
      </c>
      <c r="D579" s="26">
        <f>D580</f>
        <v>300</v>
      </c>
      <c r="E579" s="26">
        <f>E580</f>
        <v>300</v>
      </c>
      <c r="F579" s="26">
        <f>F580</f>
        <v>300</v>
      </c>
      <c r="G579" s="559">
        <f t="shared" si="155"/>
        <v>1</v>
      </c>
      <c r="H579" s="68"/>
    </row>
    <row r="580" spans="1:8" x14ac:dyDescent="0.25">
      <c r="A580" s="268" t="s">
        <v>62</v>
      </c>
      <c r="B580" s="226" t="s">
        <v>655</v>
      </c>
      <c r="C580" s="537" t="s">
        <v>412</v>
      </c>
      <c r="D580" s="26">
        <f>'Функц. 2024-2026'!F469</f>
        <v>300</v>
      </c>
      <c r="E580" s="26">
        <f>'Функц. 2024-2026'!H469</f>
        <v>300</v>
      </c>
      <c r="F580" s="26">
        <f>'Функц. 2024-2026'!J469</f>
        <v>300</v>
      </c>
      <c r="G580" s="559">
        <f t="shared" si="155"/>
        <v>1</v>
      </c>
      <c r="H580" s="68"/>
    </row>
    <row r="581" spans="1:8" x14ac:dyDescent="0.25">
      <c r="A581" s="197" t="s">
        <v>656</v>
      </c>
      <c r="B581" s="226" t="s">
        <v>657</v>
      </c>
      <c r="C581" s="537"/>
      <c r="D581" s="26">
        <f t="shared" ref="D581:F582" si="175">D582</f>
        <v>605</v>
      </c>
      <c r="E581" s="26">
        <f t="shared" si="175"/>
        <v>605</v>
      </c>
      <c r="F581" s="26">
        <f t="shared" si="175"/>
        <v>605</v>
      </c>
      <c r="G581" s="559">
        <f t="shared" si="155"/>
        <v>1</v>
      </c>
      <c r="H581" s="68"/>
    </row>
    <row r="582" spans="1:8" x14ac:dyDescent="0.25">
      <c r="A582" s="197" t="s">
        <v>121</v>
      </c>
      <c r="B582" s="226" t="s">
        <v>657</v>
      </c>
      <c r="C582" s="537" t="s">
        <v>37</v>
      </c>
      <c r="D582" s="26">
        <f t="shared" si="175"/>
        <v>605</v>
      </c>
      <c r="E582" s="26">
        <f t="shared" si="175"/>
        <v>605</v>
      </c>
      <c r="F582" s="26">
        <f t="shared" si="175"/>
        <v>605</v>
      </c>
      <c r="G582" s="559">
        <f t="shared" si="155"/>
        <v>1</v>
      </c>
      <c r="H582" s="68"/>
    </row>
    <row r="583" spans="1:8" x14ac:dyDescent="0.25">
      <c r="A583" s="197" t="s">
        <v>52</v>
      </c>
      <c r="B583" s="226" t="s">
        <v>657</v>
      </c>
      <c r="C583" s="537" t="s">
        <v>66</v>
      </c>
      <c r="D583" s="26">
        <f>'Функц. 2024-2026'!F472</f>
        <v>605</v>
      </c>
      <c r="E583" s="108">
        <f>'Функц. 2024-2026'!H472</f>
        <v>605</v>
      </c>
      <c r="F583" s="108">
        <f>'Функц. 2024-2026'!J472</f>
        <v>605</v>
      </c>
      <c r="G583" s="559">
        <f t="shared" si="155"/>
        <v>1</v>
      </c>
      <c r="H583" s="68"/>
    </row>
    <row r="584" spans="1:8" x14ac:dyDescent="0.25">
      <c r="A584" s="201" t="s">
        <v>464</v>
      </c>
      <c r="B584" s="226" t="s">
        <v>674</v>
      </c>
      <c r="C584" s="537"/>
      <c r="D584" s="26">
        <f t="shared" ref="D584:F585" si="176">D585</f>
        <v>5171.7</v>
      </c>
      <c r="E584" s="26">
        <f t="shared" si="176"/>
        <v>5171.7</v>
      </c>
      <c r="F584" s="26">
        <f t="shared" si="176"/>
        <v>5123.8999999999996</v>
      </c>
      <c r="G584" s="559">
        <f t="shared" si="155"/>
        <v>0.9907573911866504</v>
      </c>
      <c r="H584" s="68"/>
    </row>
    <row r="585" spans="1:8" x14ac:dyDescent="0.25">
      <c r="A585" s="197" t="s">
        <v>121</v>
      </c>
      <c r="B585" s="226" t="s">
        <v>674</v>
      </c>
      <c r="C585" s="537" t="s">
        <v>37</v>
      </c>
      <c r="D585" s="26">
        <f t="shared" si="176"/>
        <v>5171.7</v>
      </c>
      <c r="E585" s="26">
        <f t="shared" si="176"/>
        <v>5171.7</v>
      </c>
      <c r="F585" s="26">
        <f t="shared" si="176"/>
        <v>5123.8999999999996</v>
      </c>
      <c r="G585" s="559">
        <f t="shared" si="155"/>
        <v>0.9907573911866504</v>
      </c>
      <c r="H585" s="68"/>
    </row>
    <row r="586" spans="1:8" x14ac:dyDescent="0.25">
      <c r="A586" s="197" t="s">
        <v>52</v>
      </c>
      <c r="B586" s="226" t="s">
        <v>674</v>
      </c>
      <c r="C586" s="537" t="s">
        <v>66</v>
      </c>
      <c r="D586" s="26">
        <f>'Функц. 2024-2026'!F475</f>
        <v>5171.7</v>
      </c>
      <c r="E586" s="26">
        <f>'Функц. 2024-2026'!H475</f>
        <v>5171.7</v>
      </c>
      <c r="F586" s="26">
        <f>'Функц. 2024-2026'!J475</f>
        <v>5123.8999999999996</v>
      </c>
      <c r="G586" s="559">
        <f t="shared" si="155"/>
        <v>0.9907573911866504</v>
      </c>
      <c r="H586" s="68"/>
    </row>
    <row r="587" spans="1:8" x14ac:dyDescent="0.25">
      <c r="A587" s="197" t="s">
        <v>422</v>
      </c>
      <c r="B587" s="226" t="s">
        <v>423</v>
      </c>
      <c r="C587" s="537"/>
      <c r="D587" s="26">
        <f t="shared" ref="D587:F588" si="177">D588</f>
        <v>442316.5</v>
      </c>
      <c r="E587" s="26">
        <f t="shared" si="177"/>
        <v>442316.4</v>
      </c>
      <c r="F587" s="26">
        <f t="shared" si="177"/>
        <v>442316.4</v>
      </c>
      <c r="G587" s="559">
        <f t="shared" ref="G587:G650" si="178">F587/E587</f>
        <v>1</v>
      </c>
      <c r="H587" s="68"/>
    </row>
    <row r="588" spans="1:8" x14ac:dyDescent="0.25">
      <c r="A588" s="197" t="s">
        <v>121</v>
      </c>
      <c r="B588" s="226" t="s">
        <v>423</v>
      </c>
      <c r="C588" s="537" t="s">
        <v>37</v>
      </c>
      <c r="D588" s="26">
        <f t="shared" si="177"/>
        <v>442316.5</v>
      </c>
      <c r="E588" s="26">
        <f t="shared" si="177"/>
        <v>442316.4</v>
      </c>
      <c r="F588" s="26">
        <f t="shared" si="177"/>
        <v>442316.4</v>
      </c>
      <c r="G588" s="559">
        <f t="shared" si="178"/>
        <v>1</v>
      </c>
      <c r="H588" s="68"/>
    </row>
    <row r="589" spans="1:8" x14ac:dyDescent="0.25">
      <c r="A589" s="197" t="s">
        <v>52</v>
      </c>
      <c r="B589" s="226" t="s">
        <v>423</v>
      </c>
      <c r="C589" s="537" t="s">
        <v>66</v>
      </c>
      <c r="D589" s="26">
        <f>'Функц. 2024-2026'!F478</f>
        <v>442316.5</v>
      </c>
      <c r="E589" s="26">
        <f>'Функц. 2024-2026'!H478</f>
        <v>442316.4</v>
      </c>
      <c r="F589" s="26">
        <f>'Функц. 2024-2026'!J478</f>
        <v>442316.4</v>
      </c>
      <c r="G589" s="559">
        <f t="shared" si="178"/>
        <v>1</v>
      </c>
      <c r="H589" s="68"/>
    </row>
    <row r="590" spans="1:8" x14ac:dyDescent="0.25">
      <c r="A590" s="201" t="s">
        <v>391</v>
      </c>
      <c r="B590" s="226" t="s">
        <v>392</v>
      </c>
      <c r="C590" s="537"/>
      <c r="D590" s="26">
        <f>D591</f>
        <v>304994.09999999998</v>
      </c>
      <c r="E590" s="26">
        <f t="shared" ref="E590:F590" si="179">E591</f>
        <v>304994.09999999998</v>
      </c>
      <c r="F590" s="26">
        <f t="shared" si="179"/>
        <v>295515.7</v>
      </c>
      <c r="G590" s="559">
        <f t="shared" si="178"/>
        <v>0.9689226775206472</v>
      </c>
      <c r="H590" s="68"/>
    </row>
    <row r="591" spans="1:8" ht="31.5" x14ac:dyDescent="0.25">
      <c r="A591" s="197" t="s">
        <v>597</v>
      </c>
      <c r="B591" s="226" t="s">
        <v>684</v>
      </c>
      <c r="C591" s="537"/>
      <c r="D591" s="26">
        <f xml:space="preserve"> D592</f>
        <v>304994.09999999998</v>
      </c>
      <c r="E591" s="108">
        <f xml:space="preserve"> E592</f>
        <v>304994.09999999998</v>
      </c>
      <c r="F591" s="108">
        <f xml:space="preserve"> F592</f>
        <v>295515.7</v>
      </c>
      <c r="G591" s="559">
        <f t="shared" si="178"/>
        <v>0.9689226775206472</v>
      </c>
      <c r="H591" s="68"/>
    </row>
    <row r="592" spans="1:8" x14ac:dyDescent="0.25">
      <c r="A592" s="197" t="s">
        <v>121</v>
      </c>
      <c r="B592" s="226" t="s">
        <v>684</v>
      </c>
      <c r="C592" s="537" t="s">
        <v>37</v>
      </c>
      <c r="D592" s="26">
        <f>D593</f>
        <v>304994.09999999998</v>
      </c>
      <c r="E592" s="108">
        <f>E593</f>
        <v>304994.09999999998</v>
      </c>
      <c r="F592" s="108">
        <f>F593</f>
        <v>295515.7</v>
      </c>
      <c r="G592" s="559">
        <f t="shared" si="178"/>
        <v>0.9689226775206472</v>
      </c>
      <c r="H592" s="68"/>
    </row>
    <row r="593" spans="1:8" x14ac:dyDescent="0.25">
      <c r="A593" s="197" t="s">
        <v>52</v>
      </c>
      <c r="B593" s="226" t="s">
        <v>684</v>
      </c>
      <c r="C593" s="537" t="s">
        <v>66</v>
      </c>
      <c r="D593" s="26">
        <f>'Функц. 2024-2026'!F482</f>
        <v>304994.09999999998</v>
      </c>
      <c r="E593" s="108">
        <f>'Функц. 2024-2026'!H482</f>
        <v>304994.09999999998</v>
      </c>
      <c r="F593" s="108">
        <f>'Функц. 2024-2026'!J482</f>
        <v>295515.7</v>
      </c>
      <c r="G593" s="559">
        <f t="shared" si="178"/>
        <v>0.9689226775206472</v>
      </c>
      <c r="H593" s="210"/>
    </row>
    <row r="594" spans="1:8" ht="31.5" x14ac:dyDescent="0.25">
      <c r="A594" s="217" t="s">
        <v>579</v>
      </c>
      <c r="B594" s="226" t="s">
        <v>251</v>
      </c>
      <c r="C594" s="530"/>
      <c r="D594" s="26">
        <f>D595+D642+D632+D636</f>
        <v>341364.20000000007</v>
      </c>
      <c r="E594" s="26">
        <f t="shared" ref="E594:F594" si="180">E595+E642+E632+E636</f>
        <v>341364.10000000003</v>
      </c>
      <c r="F594" s="26">
        <f t="shared" si="180"/>
        <v>330199.49999999994</v>
      </c>
      <c r="G594" s="559">
        <f t="shared" si="178"/>
        <v>0.96729415893469728</v>
      </c>
      <c r="H594" s="68"/>
    </row>
    <row r="595" spans="1:8" ht="31.5" x14ac:dyDescent="0.25">
      <c r="A595" s="201" t="s">
        <v>580</v>
      </c>
      <c r="B595" s="226" t="s">
        <v>252</v>
      </c>
      <c r="C595" s="530"/>
      <c r="D595" s="26">
        <f>D600+D615+D603+D626+D618+D623+D612+D606+D609+D596+D629</f>
        <v>306450.80000000005</v>
      </c>
      <c r="E595" s="26">
        <f t="shared" ref="E595:F595" si="181">E600+E615+E603+E626+E618+E623+E612+E606+E609+E596+E629</f>
        <v>306450.7</v>
      </c>
      <c r="F595" s="26">
        <f t="shared" si="181"/>
        <v>297183.3</v>
      </c>
      <c r="G595" s="559">
        <f t="shared" si="178"/>
        <v>0.96975892043973133</v>
      </c>
      <c r="H595" s="68"/>
    </row>
    <row r="596" spans="1:8" x14ac:dyDescent="0.25">
      <c r="A596" s="201" t="s">
        <v>710</v>
      </c>
      <c r="B596" s="226" t="s">
        <v>711</v>
      </c>
      <c r="C596" s="457"/>
      <c r="D596" s="26">
        <f>D597</f>
        <v>1828.5</v>
      </c>
      <c r="E596" s="26">
        <f t="shared" ref="E596:F598" si="182">E597</f>
        <v>1828.5</v>
      </c>
      <c r="F596" s="26">
        <f t="shared" si="182"/>
        <v>1759</v>
      </c>
      <c r="G596" s="559">
        <f t="shared" si="178"/>
        <v>0.96199070276182663</v>
      </c>
      <c r="H596" s="68"/>
    </row>
    <row r="597" spans="1:8" x14ac:dyDescent="0.25">
      <c r="A597" s="201" t="s">
        <v>712</v>
      </c>
      <c r="B597" s="226" t="s">
        <v>713</v>
      </c>
      <c r="C597" s="457"/>
      <c r="D597" s="26">
        <f>D598</f>
        <v>1828.5</v>
      </c>
      <c r="E597" s="26">
        <f t="shared" si="182"/>
        <v>1828.5</v>
      </c>
      <c r="F597" s="26">
        <f t="shared" si="182"/>
        <v>1759</v>
      </c>
      <c r="G597" s="559">
        <f t="shared" si="178"/>
        <v>0.96199070276182663</v>
      </c>
      <c r="H597" s="68"/>
    </row>
    <row r="598" spans="1:8" x14ac:dyDescent="0.25">
      <c r="A598" s="197" t="s">
        <v>121</v>
      </c>
      <c r="B598" s="226" t="s">
        <v>713</v>
      </c>
      <c r="C598" s="459">
        <v>200</v>
      </c>
      <c r="D598" s="26">
        <f>D599</f>
        <v>1828.5</v>
      </c>
      <c r="E598" s="26">
        <f t="shared" si="182"/>
        <v>1828.5</v>
      </c>
      <c r="F598" s="26">
        <f t="shared" si="182"/>
        <v>1759</v>
      </c>
      <c r="G598" s="559">
        <f t="shared" si="178"/>
        <v>0.96199070276182663</v>
      </c>
      <c r="H598" s="68"/>
    </row>
    <row r="599" spans="1:8" x14ac:dyDescent="0.25">
      <c r="A599" s="197" t="s">
        <v>52</v>
      </c>
      <c r="B599" s="226" t="s">
        <v>713</v>
      </c>
      <c r="C599" s="457">
        <v>240</v>
      </c>
      <c r="D599" s="26">
        <f>'Функц. 2024-2026'!F488</f>
        <v>1828.5</v>
      </c>
      <c r="E599" s="108">
        <f>'Функц. 2024-2026'!H488</f>
        <v>1828.5</v>
      </c>
      <c r="F599" s="108">
        <f>'Функц. 2024-2026'!J488</f>
        <v>1759</v>
      </c>
      <c r="G599" s="559">
        <f t="shared" si="178"/>
        <v>0.96199070276182663</v>
      </c>
      <c r="H599" s="68"/>
    </row>
    <row r="600" spans="1:8" x14ac:dyDescent="0.25">
      <c r="A600" s="218" t="s">
        <v>617</v>
      </c>
      <c r="B600" s="226" t="s">
        <v>616</v>
      </c>
      <c r="C600" s="530"/>
      <c r="D600" s="26">
        <f t="shared" ref="D600:F601" si="183">D601</f>
        <v>32920</v>
      </c>
      <c r="E600" s="108">
        <f t="shared" si="183"/>
        <v>32920</v>
      </c>
      <c r="F600" s="108">
        <f t="shared" si="183"/>
        <v>32030.9</v>
      </c>
      <c r="G600" s="559">
        <f t="shared" si="178"/>
        <v>0.97299210206561371</v>
      </c>
      <c r="H600" s="68"/>
    </row>
    <row r="601" spans="1:8" x14ac:dyDescent="0.25">
      <c r="A601" s="197" t="s">
        <v>121</v>
      </c>
      <c r="B601" s="226" t="s">
        <v>616</v>
      </c>
      <c r="C601" s="458">
        <v>200</v>
      </c>
      <c r="D601" s="26">
        <f t="shared" si="183"/>
        <v>32920</v>
      </c>
      <c r="E601" s="108">
        <f t="shared" si="183"/>
        <v>32920</v>
      </c>
      <c r="F601" s="108">
        <f t="shared" si="183"/>
        <v>32030.9</v>
      </c>
      <c r="G601" s="559">
        <f t="shared" si="178"/>
        <v>0.97299210206561371</v>
      </c>
      <c r="H601" s="68"/>
    </row>
    <row r="602" spans="1:8" x14ac:dyDescent="0.25">
      <c r="A602" s="197" t="s">
        <v>52</v>
      </c>
      <c r="B602" s="226" t="s">
        <v>616</v>
      </c>
      <c r="C602" s="530">
        <v>240</v>
      </c>
      <c r="D602" s="26">
        <f>'Функц. 2024-2026'!F491</f>
        <v>32920</v>
      </c>
      <c r="E602" s="108">
        <f>'Функц. 2024-2026'!H491</f>
        <v>32920</v>
      </c>
      <c r="F602" s="108">
        <f>'Функц. 2024-2026'!J491</f>
        <v>32030.9</v>
      </c>
      <c r="G602" s="559">
        <f t="shared" si="178"/>
        <v>0.97299210206561371</v>
      </c>
      <c r="H602" s="68"/>
    </row>
    <row r="603" spans="1:8" x14ac:dyDescent="0.25">
      <c r="A603" s="197" t="s">
        <v>467</v>
      </c>
      <c r="B603" s="226" t="s">
        <v>428</v>
      </c>
      <c r="C603" s="530"/>
      <c r="D603" s="26">
        <f t="shared" ref="D603:F604" si="184">D604</f>
        <v>37173.5</v>
      </c>
      <c r="E603" s="108">
        <f t="shared" si="184"/>
        <v>37173.5</v>
      </c>
      <c r="F603" s="108">
        <f t="shared" si="184"/>
        <v>30730.9</v>
      </c>
      <c r="G603" s="559">
        <f t="shared" si="178"/>
        <v>0.82668836671284651</v>
      </c>
      <c r="H603" s="68"/>
    </row>
    <row r="604" spans="1:8" x14ac:dyDescent="0.25">
      <c r="A604" s="197" t="s">
        <v>121</v>
      </c>
      <c r="B604" s="226" t="s">
        <v>428</v>
      </c>
      <c r="C604" s="458">
        <v>200</v>
      </c>
      <c r="D604" s="26">
        <f t="shared" si="184"/>
        <v>37173.5</v>
      </c>
      <c r="E604" s="108">
        <f t="shared" si="184"/>
        <v>37173.5</v>
      </c>
      <c r="F604" s="108">
        <f t="shared" si="184"/>
        <v>30730.9</v>
      </c>
      <c r="G604" s="559">
        <f t="shared" si="178"/>
        <v>0.82668836671284651</v>
      </c>
      <c r="H604" s="68"/>
    </row>
    <row r="605" spans="1:8" x14ac:dyDescent="0.25">
      <c r="A605" s="197" t="s">
        <v>52</v>
      </c>
      <c r="B605" s="226" t="s">
        <v>428</v>
      </c>
      <c r="C605" s="530">
        <v>240</v>
      </c>
      <c r="D605" s="26">
        <f>'Функц. 2024-2026'!F494</f>
        <v>37173.5</v>
      </c>
      <c r="E605" s="108">
        <f>'Функц. 2024-2026'!H494</f>
        <v>37173.5</v>
      </c>
      <c r="F605" s="108">
        <f>'Функц. 2024-2026'!J494</f>
        <v>30730.9</v>
      </c>
      <c r="G605" s="559">
        <f t="shared" si="178"/>
        <v>0.82668836671284651</v>
      </c>
      <c r="H605" s="68"/>
    </row>
    <row r="606" spans="1:8" ht="31.5" x14ac:dyDescent="0.25">
      <c r="A606" s="201" t="s">
        <v>703</v>
      </c>
      <c r="B606" s="226" t="s">
        <v>704</v>
      </c>
      <c r="C606" s="530"/>
      <c r="D606" s="26">
        <f t="shared" ref="D606:F607" si="185">D607</f>
        <v>29244</v>
      </c>
      <c r="E606" s="26">
        <f t="shared" si="185"/>
        <v>29244</v>
      </c>
      <c r="F606" s="26">
        <f t="shared" si="185"/>
        <v>27701.599999999999</v>
      </c>
      <c r="G606" s="559">
        <f t="shared" si="178"/>
        <v>0.94725755710573101</v>
      </c>
      <c r="H606" s="68"/>
    </row>
    <row r="607" spans="1:8" x14ac:dyDescent="0.25">
      <c r="A607" s="197" t="s">
        <v>121</v>
      </c>
      <c r="B607" s="226" t="s">
        <v>704</v>
      </c>
      <c r="C607" s="458">
        <v>200</v>
      </c>
      <c r="D607" s="26">
        <f t="shared" si="185"/>
        <v>29244</v>
      </c>
      <c r="E607" s="26">
        <f t="shared" si="185"/>
        <v>29244</v>
      </c>
      <c r="F607" s="26">
        <f t="shared" si="185"/>
        <v>27701.599999999999</v>
      </c>
      <c r="G607" s="559">
        <f t="shared" si="178"/>
        <v>0.94725755710573101</v>
      </c>
      <c r="H607" s="68"/>
    </row>
    <row r="608" spans="1:8" x14ac:dyDescent="0.25">
      <c r="A608" s="197" t="s">
        <v>52</v>
      </c>
      <c r="B608" s="226" t="s">
        <v>704</v>
      </c>
      <c r="C608" s="530">
        <v>240</v>
      </c>
      <c r="D608" s="26">
        <f>'Функц. 2024-2026'!F497</f>
        <v>29244</v>
      </c>
      <c r="E608" s="108">
        <f>'Функц. 2024-2026'!H497</f>
        <v>29244</v>
      </c>
      <c r="F608" s="108">
        <f>'Функц. 2024-2026'!J497</f>
        <v>27701.599999999999</v>
      </c>
      <c r="G608" s="559">
        <f t="shared" si="178"/>
        <v>0.94725755710573101</v>
      </c>
      <c r="H608" s="68"/>
    </row>
    <row r="609" spans="1:8" ht="31.5" x14ac:dyDescent="0.25">
      <c r="A609" s="197" t="s">
        <v>707</v>
      </c>
      <c r="B609" s="226" t="s">
        <v>706</v>
      </c>
      <c r="C609" s="457"/>
      <c r="D609" s="26">
        <f t="shared" ref="D609:F610" si="186">D610</f>
        <v>14123.9</v>
      </c>
      <c r="E609" s="26">
        <f t="shared" si="186"/>
        <v>14123.9</v>
      </c>
      <c r="F609" s="26">
        <f t="shared" si="186"/>
        <v>14047.8</v>
      </c>
      <c r="G609" s="559">
        <f t="shared" si="178"/>
        <v>0.99461196978171751</v>
      </c>
      <c r="H609" s="68"/>
    </row>
    <row r="610" spans="1:8" x14ac:dyDescent="0.25">
      <c r="A610" s="197" t="s">
        <v>121</v>
      </c>
      <c r="B610" s="226" t="s">
        <v>706</v>
      </c>
      <c r="C610" s="459">
        <v>200</v>
      </c>
      <c r="D610" s="26">
        <f t="shared" si="186"/>
        <v>14123.9</v>
      </c>
      <c r="E610" s="26">
        <f t="shared" si="186"/>
        <v>14123.9</v>
      </c>
      <c r="F610" s="26">
        <f t="shared" si="186"/>
        <v>14047.8</v>
      </c>
      <c r="G610" s="559">
        <f t="shared" si="178"/>
        <v>0.99461196978171751</v>
      </c>
      <c r="H610" s="68"/>
    </row>
    <row r="611" spans="1:8" x14ac:dyDescent="0.25">
      <c r="A611" s="197" t="s">
        <v>52</v>
      </c>
      <c r="B611" s="226" t="s">
        <v>706</v>
      </c>
      <c r="C611" s="457">
        <v>240</v>
      </c>
      <c r="D611" s="26">
        <f>'Функц. 2024-2026'!F500</f>
        <v>14123.9</v>
      </c>
      <c r="E611" s="26">
        <f>'Функц. 2024-2026'!F500</f>
        <v>14123.9</v>
      </c>
      <c r="F611" s="26">
        <f>'Функц. 2024-2026'!J500</f>
        <v>14047.8</v>
      </c>
      <c r="G611" s="559">
        <f t="shared" si="178"/>
        <v>0.99461196978171751</v>
      </c>
      <c r="H611" s="68"/>
    </row>
    <row r="612" spans="1:8" x14ac:dyDescent="0.25">
      <c r="A612" s="197" t="s">
        <v>701</v>
      </c>
      <c r="B612" s="226" t="s">
        <v>702</v>
      </c>
      <c r="C612" s="457"/>
      <c r="D612" s="26">
        <f t="shared" ref="D612:F613" si="187">D613</f>
        <v>13208.900000000001</v>
      </c>
      <c r="E612" s="26">
        <f t="shared" si="187"/>
        <v>13208.900000000001</v>
      </c>
      <c r="F612" s="26">
        <f t="shared" si="187"/>
        <v>13159.7</v>
      </c>
      <c r="G612" s="559">
        <f t="shared" si="178"/>
        <v>0.99627523866483958</v>
      </c>
      <c r="H612" s="68"/>
    </row>
    <row r="613" spans="1:8" x14ac:dyDescent="0.25">
      <c r="A613" s="197" t="s">
        <v>121</v>
      </c>
      <c r="B613" s="226" t="s">
        <v>702</v>
      </c>
      <c r="C613" s="459">
        <v>200</v>
      </c>
      <c r="D613" s="26">
        <f t="shared" si="187"/>
        <v>13208.900000000001</v>
      </c>
      <c r="E613" s="26">
        <f t="shared" si="187"/>
        <v>13208.900000000001</v>
      </c>
      <c r="F613" s="26">
        <f t="shared" si="187"/>
        <v>13159.7</v>
      </c>
      <c r="G613" s="559">
        <f t="shared" si="178"/>
        <v>0.99627523866483958</v>
      </c>
      <c r="H613" s="68"/>
    </row>
    <row r="614" spans="1:8" x14ac:dyDescent="0.25">
      <c r="A614" s="197" t="s">
        <v>52</v>
      </c>
      <c r="B614" s="226" t="s">
        <v>702</v>
      </c>
      <c r="C614" s="457">
        <v>240</v>
      </c>
      <c r="D614" s="26">
        <f>'Функц. 2024-2026'!F503</f>
        <v>13208.900000000001</v>
      </c>
      <c r="E614" s="108">
        <f>'Функц. 2024-2026'!H503</f>
        <v>13208.900000000001</v>
      </c>
      <c r="F614" s="108">
        <f>'Функц. 2024-2026'!J503</f>
        <v>13159.7</v>
      </c>
      <c r="G614" s="559">
        <f t="shared" si="178"/>
        <v>0.99627523866483958</v>
      </c>
      <c r="H614" s="68"/>
    </row>
    <row r="615" spans="1:8" ht="31.5" x14ac:dyDescent="0.25">
      <c r="A615" s="218" t="s">
        <v>626</v>
      </c>
      <c r="B615" s="226" t="s">
        <v>446</v>
      </c>
      <c r="C615" s="530"/>
      <c r="D615" s="26">
        <f t="shared" ref="D615:F616" si="188">D616</f>
        <v>163866.70000000001</v>
      </c>
      <c r="E615" s="108">
        <f t="shared" si="188"/>
        <v>163866.70000000001</v>
      </c>
      <c r="F615" s="108">
        <f t="shared" si="188"/>
        <v>163866.70000000001</v>
      </c>
      <c r="G615" s="559">
        <f t="shared" si="178"/>
        <v>1</v>
      </c>
      <c r="H615" s="68"/>
    </row>
    <row r="616" spans="1:8" ht="31.5" x14ac:dyDescent="0.25">
      <c r="A616" s="216" t="s">
        <v>61</v>
      </c>
      <c r="B616" s="226" t="s">
        <v>446</v>
      </c>
      <c r="C616" s="458">
        <v>600</v>
      </c>
      <c r="D616" s="26">
        <f t="shared" si="188"/>
        <v>163866.70000000001</v>
      </c>
      <c r="E616" s="108">
        <f t="shared" si="188"/>
        <v>163866.70000000001</v>
      </c>
      <c r="F616" s="108">
        <f t="shared" si="188"/>
        <v>163866.70000000001</v>
      </c>
      <c r="G616" s="559">
        <f t="shared" si="178"/>
        <v>1</v>
      </c>
      <c r="H616" s="68"/>
    </row>
    <row r="617" spans="1:8" x14ac:dyDescent="0.25">
      <c r="A617" s="216" t="s">
        <v>62</v>
      </c>
      <c r="B617" s="226" t="s">
        <v>446</v>
      </c>
      <c r="C617" s="530">
        <v>610</v>
      </c>
      <c r="D617" s="26">
        <f>'Функц. 2024-2026'!F506</f>
        <v>163866.70000000001</v>
      </c>
      <c r="E617" s="108">
        <f>'Функц. 2024-2026'!H506</f>
        <v>163866.70000000001</v>
      </c>
      <c r="F617" s="108">
        <f>'Функц. 2024-2026'!J506</f>
        <v>163866.70000000001</v>
      </c>
      <c r="G617" s="559">
        <f t="shared" si="178"/>
        <v>1</v>
      </c>
      <c r="H617" s="68"/>
    </row>
    <row r="618" spans="1:8" ht="31.5" x14ac:dyDescent="0.25">
      <c r="A618" s="216" t="s">
        <v>340</v>
      </c>
      <c r="B618" s="226" t="s">
        <v>582</v>
      </c>
      <c r="C618" s="530"/>
      <c r="D618" s="26">
        <f>D619+D621</f>
        <v>1474</v>
      </c>
      <c r="E618" s="26">
        <f>E619+E621</f>
        <v>1474</v>
      </c>
      <c r="F618" s="26">
        <f>F619+F621</f>
        <v>1474</v>
      </c>
      <c r="G618" s="559">
        <f t="shared" si="178"/>
        <v>1</v>
      </c>
      <c r="H618" s="68"/>
    </row>
    <row r="619" spans="1:8" ht="47.25" x14ac:dyDescent="0.25">
      <c r="A619" s="216" t="s">
        <v>41</v>
      </c>
      <c r="B619" s="226" t="s">
        <v>582</v>
      </c>
      <c r="C619" s="530">
        <v>100</v>
      </c>
      <c r="D619" s="26">
        <f>D620</f>
        <v>1421</v>
      </c>
      <c r="E619" s="26">
        <f>E620</f>
        <v>1421</v>
      </c>
      <c r="F619" s="26">
        <f>F620</f>
        <v>1421</v>
      </c>
      <c r="G619" s="559">
        <f t="shared" si="178"/>
        <v>1</v>
      </c>
      <c r="H619" s="68"/>
    </row>
    <row r="620" spans="1:8" x14ac:dyDescent="0.25">
      <c r="A620" s="216" t="s">
        <v>97</v>
      </c>
      <c r="B620" s="226" t="s">
        <v>582</v>
      </c>
      <c r="C620" s="530">
        <v>120</v>
      </c>
      <c r="D620" s="26">
        <f>'Функц. 2024-2026'!F522</f>
        <v>1421</v>
      </c>
      <c r="E620" s="108">
        <f>'Функц. 2024-2026'!H522</f>
        <v>1421</v>
      </c>
      <c r="F620" s="108">
        <f>'Функц. 2024-2026'!J522</f>
        <v>1421</v>
      </c>
      <c r="G620" s="559">
        <f t="shared" si="178"/>
        <v>1</v>
      </c>
      <c r="H620" s="68"/>
    </row>
    <row r="621" spans="1:8" x14ac:dyDescent="0.25">
      <c r="A621" s="216" t="s">
        <v>121</v>
      </c>
      <c r="B621" s="226" t="s">
        <v>582</v>
      </c>
      <c r="C621" s="530">
        <v>200</v>
      </c>
      <c r="D621" s="26">
        <f>D622</f>
        <v>53</v>
      </c>
      <c r="E621" s="26">
        <f>E622</f>
        <v>53</v>
      </c>
      <c r="F621" s="26">
        <f>F622</f>
        <v>53</v>
      </c>
      <c r="G621" s="559">
        <f t="shared" si="178"/>
        <v>1</v>
      </c>
      <c r="H621" s="68"/>
    </row>
    <row r="622" spans="1:8" x14ac:dyDescent="0.25">
      <c r="A622" s="216" t="s">
        <v>52</v>
      </c>
      <c r="B622" s="226" t="s">
        <v>582</v>
      </c>
      <c r="C622" s="530">
        <v>240</v>
      </c>
      <c r="D622" s="26">
        <f>'Функц. 2024-2026'!F524</f>
        <v>53</v>
      </c>
      <c r="E622" s="108">
        <f>'Функц. 2024-2026'!H524</f>
        <v>53</v>
      </c>
      <c r="F622" s="108">
        <f>'Функц. 2024-2026'!J524</f>
        <v>53</v>
      </c>
      <c r="G622" s="559">
        <f t="shared" si="178"/>
        <v>1</v>
      </c>
      <c r="H622" s="68"/>
    </row>
    <row r="623" spans="1:8" x14ac:dyDescent="0.25">
      <c r="A623" s="197" t="s">
        <v>457</v>
      </c>
      <c r="B623" s="226" t="s">
        <v>672</v>
      </c>
      <c r="C623" s="530"/>
      <c r="D623" s="26">
        <f t="shared" ref="D623:F624" si="189">D624</f>
        <v>1317.5</v>
      </c>
      <c r="E623" s="26">
        <f t="shared" si="189"/>
        <v>1317.5</v>
      </c>
      <c r="F623" s="26">
        <f t="shared" si="189"/>
        <v>1119</v>
      </c>
      <c r="G623" s="559">
        <f t="shared" si="178"/>
        <v>0.84933586337760913</v>
      </c>
      <c r="H623" s="68"/>
    </row>
    <row r="624" spans="1:8" x14ac:dyDescent="0.25">
      <c r="A624" s="197" t="s">
        <v>121</v>
      </c>
      <c r="B624" s="226" t="s">
        <v>672</v>
      </c>
      <c r="C624" s="458">
        <v>200</v>
      </c>
      <c r="D624" s="26">
        <f t="shared" si="189"/>
        <v>1317.5</v>
      </c>
      <c r="E624" s="26">
        <f t="shared" si="189"/>
        <v>1317.5</v>
      </c>
      <c r="F624" s="26">
        <f t="shared" si="189"/>
        <v>1119</v>
      </c>
      <c r="G624" s="559">
        <f t="shared" si="178"/>
        <v>0.84933586337760913</v>
      </c>
      <c r="H624" s="68"/>
    </row>
    <row r="625" spans="1:31" x14ac:dyDescent="0.25">
      <c r="A625" s="197" t="s">
        <v>52</v>
      </c>
      <c r="B625" s="226" t="s">
        <v>672</v>
      </c>
      <c r="C625" s="530">
        <v>240</v>
      </c>
      <c r="D625" s="26">
        <f>'Функц. 2024-2026'!F509</f>
        <v>1317.5</v>
      </c>
      <c r="E625" s="108">
        <f>'Функц. 2024-2026'!H509</f>
        <v>1317.5</v>
      </c>
      <c r="F625" s="108">
        <f>'Функц. 2024-2026'!J509</f>
        <v>1119</v>
      </c>
      <c r="G625" s="559">
        <f t="shared" si="178"/>
        <v>0.84933586337760913</v>
      </c>
      <c r="H625" s="68"/>
    </row>
    <row r="626" spans="1:31" x14ac:dyDescent="0.25">
      <c r="A626" s="197" t="s">
        <v>472</v>
      </c>
      <c r="B626" s="226" t="s">
        <v>673</v>
      </c>
      <c r="C626" s="537"/>
      <c r="D626" s="26">
        <f t="shared" ref="D626:F627" si="190">D627</f>
        <v>10982.6</v>
      </c>
      <c r="E626" s="26">
        <f t="shared" si="190"/>
        <v>10982.6</v>
      </c>
      <c r="F626" s="26">
        <f t="shared" si="190"/>
        <v>10982.6</v>
      </c>
      <c r="G626" s="559">
        <f t="shared" si="178"/>
        <v>1</v>
      </c>
      <c r="H626" s="68"/>
    </row>
    <row r="627" spans="1:31" x14ac:dyDescent="0.25">
      <c r="A627" s="197" t="s">
        <v>121</v>
      </c>
      <c r="B627" s="226" t="s">
        <v>673</v>
      </c>
      <c r="C627" s="537" t="s">
        <v>37</v>
      </c>
      <c r="D627" s="26">
        <f t="shared" si="190"/>
        <v>10982.6</v>
      </c>
      <c r="E627" s="26">
        <f t="shared" si="190"/>
        <v>10982.6</v>
      </c>
      <c r="F627" s="26">
        <f t="shared" si="190"/>
        <v>10982.6</v>
      </c>
      <c r="G627" s="559">
        <f t="shared" si="178"/>
        <v>1</v>
      </c>
      <c r="H627" s="68"/>
    </row>
    <row r="628" spans="1:31" x14ac:dyDescent="0.25">
      <c r="A628" s="197" t="s">
        <v>52</v>
      </c>
      <c r="B628" s="226" t="s">
        <v>673</v>
      </c>
      <c r="C628" s="537" t="s">
        <v>66</v>
      </c>
      <c r="D628" s="26">
        <f>'Функц. 2024-2026'!F330</f>
        <v>10982.6</v>
      </c>
      <c r="E628" s="108">
        <f>'Функц. 2024-2026'!H330</f>
        <v>10982.6</v>
      </c>
      <c r="F628" s="108">
        <f>'Функц. 2024-2026'!J330</f>
        <v>10982.6</v>
      </c>
      <c r="G628" s="559">
        <f t="shared" si="178"/>
        <v>1</v>
      </c>
      <c r="H628" s="68"/>
    </row>
    <row r="629" spans="1:31" x14ac:dyDescent="0.25">
      <c r="A629" s="347" t="s">
        <v>780</v>
      </c>
      <c r="B629" s="355" t="s">
        <v>781</v>
      </c>
      <c r="C629" s="551"/>
      <c r="D629" s="26">
        <f>D630</f>
        <v>311.19999999999993</v>
      </c>
      <c r="E629" s="26">
        <f t="shared" ref="E629:F630" si="191">E630</f>
        <v>311.10000000000002</v>
      </c>
      <c r="F629" s="26">
        <f t="shared" si="191"/>
        <v>311.10000000000002</v>
      </c>
      <c r="G629" s="559">
        <f t="shared" si="178"/>
        <v>1</v>
      </c>
      <c r="H629" s="68"/>
    </row>
    <row r="630" spans="1:31" x14ac:dyDescent="0.25">
      <c r="A630" s="347" t="s">
        <v>121</v>
      </c>
      <c r="B630" s="355" t="s">
        <v>781</v>
      </c>
      <c r="C630" s="551" t="s">
        <v>37</v>
      </c>
      <c r="D630" s="26">
        <f>D631</f>
        <v>311.19999999999993</v>
      </c>
      <c r="E630" s="26">
        <f t="shared" si="191"/>
        <v>311.10000000000002</v>
      </c>
      <c r="F630" s="26">
        <f t="shared" si="191"/>
        <v>311.10000000000002</v>
      </c>
      <c r="G630" s="559">
        <f t="shared" si="178"/>
        <v>1</v>
      </c>
      <c r="H630" s="26">
        <f t="shared" ref="H630:AE630" si="192">H631</f>
        <v>0</v>
      </c>
      <c r="I630" s="26">
        <f t="shared" si="192"/>
        <v>0</v>
      </c>
      <c r="J630" s="26">
        <f t="shared" si="192"/>
        <v>0</v>
      </c>
      <c r="K630" s="26">
        <f t="shared" si="192"/>
        <v>0</v>
      </c>
      <c r="L630" s="26">
        <f t="shared" si="192"/>
        <v>0</v>
      </c>
      <c r="M630" s="26">
        <f t="shared" si="192"/>
        <v>0</v>
      </c>
      <c r="N630" s="26">
        <f t="shared" si="192"/>
        <v>0</v>
      </c>
      <c r="O630" s="26">
        <f t="shared" si="192"/>
        <v>0</v>
      </c>
      <c r="P630" s="26">
        <f t="shared" si="192"/>
        <v>0</v>
      </c>
      <c r="Q630" s="26">
        <f t="shared" si="192"/>
        <v>0</v>
      </c>
      <c r="R630" s="26">
        <f t="shared" si="192"/>
        <v>0</v>
      </c>
      <c r="S630" s="26">
        <f t="shared" si="192"/>
        <v>0</v>
      </c>
      <c r="T630" s="26">
        <f t="shared" si="192"/>
        <v>0</v>
      </c>
      <c r="U630" s="26">
        <f t="shared" si="192"/>
        <v>0</v>
      </c>
      <c r="V630" s="26">
        <f t="shared" si="192"/>
        <v>0</v>
      </c>
      <c r="W630" s="26">
        <f t="shared" si="192"/>
        <v>0</v>
      </c>
      <c r="X630" s="26">
        <f t="shared" si="192"/>
        <v>0</v>
      </c>
      <c r="Y630" s="26">
        <f t="shared" si="192"/>
        <v>0</v>
      </c>
      <c r="Z630" s="26">
        <f t="shared" si="192"/>
        <v>0</v>
      </c>
      <c r="AA630" s="26">
        <f t="shared" si="192"/>
        <v>0</v>
      </c>
      <c r="AB630" s="26">
        <f t="shared" si="192"/>
        <v>0</v>
      </c>
      <c r="AC630" s="26">
        <f t="shared" si="192"/>
        <v>0</v>
      </c>
      <c r="AD630" s="26">
        <f t="shared" si="192"/>
        <v>0</v>
      </c>
      <c r="AE630" s="489">
        <f t="shared" si="192"/>
        <v>0</v>
      </c>
    </row>
    <row r="631" spans="1:31" x14ac:dyDescent="0.25">
      <c r="A631" s="347" t="s">
        <v>52</v>
      </c>
      <c r="B631" s="355" t="s">
        <v>781</v>
      </c>
      <c r="C631" s="551" t="s">
        <v>66</v>
      </c>
      <c r="D631" s="26">
        <f>'Функц. 2024-2026'!F430</f>
        <v>311.19999999999993</v>
      </c>
      <c r="E631" s="108">
        <f>'Функц. 2024-2026'!H430</f>
        <v>311.10000000000002</v>
      </c>
      <c r="F631" s="108">
        <f>'Функц. 2024-2026'!J430</f>
        <v>311.10000000000002</v>
      </c>
      <c r="G631" s="559">
        <f t="shared" si="178"/>
        <v>1</v>
      </c>
      <c r="H631" s="68"/>
    </row>
    <row r="632" spans="1:31" ht="31.5" x14ac:dyDescent="0.25">
      <c r="A632" s="218" t="s">
        <v>332</v>
      </c>
      <c r="B632" s="226" t="s">
        <v>583</v>
      </c>
      <c r="C632" s="458"/>
      <c r="D632" s="26">
        <f>D633</f>
        <v>100</v>
      </c>
      <c r="E632" s="26">
        <f>E633</f>
        <v>100</v>
      </c>
      <c r="F632" s="26">
        <f>F633</f>
        <v>100</v>
      </c>
      <c r="G632" s="559">
        <f t="shared" si="178"/>
        <v>1</v>
      </c>
      <c r="H632" s="68"/>
    </row>
    <row r="633" spans="1:31" x14ac:dyDescent="0.25">
      <c r="A633" s="218" t="s">
        <v>358</v>
      </c>
      <c r="B633" s="226" t="s">
        <v>584</v>
      </c>
      <c r="C633" s="458"/>
      <c r="D633" s="26">
        <f t="shared" ref="D633:F634" si="193">D634</f>
        <v>100</v>
      </c>
      <c r="E633" s="108">
        <f t="shared" si="193"/>
        <v>100</v>
      </c>
      <c r="F633" s="108">
        <f t="shared" si="193"/>
        <v>100</v>
      </c>
      <c r="G633" s="559">
        <f t="shared" si="178"/>
        <v>1</v>
      </c>
      <c r="H633" s="68"/>
    </row>
    <row r="634" spans="1:31" x14ac:dyDescent="0.25">
      <c r="A634" s="216" t="s">
        <v>121</v>
      </c>
      <c r="B634" s="226" t="s">
        <v>584</v>
      </c>
      <c r="C634" s="537" t="s">
        <v>37</v>
      </c>
      <c r="D634" s="26">
        <f t="shared" si="193"/>
        <v>100</v>
      </c>
      <c r="E634" s="108">
        <f t="shared" si="193"/>
        <v>100</v>
      </c>
      <c r="F634" s="108">
        <f t="shared" si="193"/>
        <v>100</v>
      </c>
      <c r="G634" s="559">
        <f t="shared" si="178"/>
        <v>1</v>
      </c>
      <c r="H634" s="68"/>
    </row>
    <row r="635" spans="1:31" x14ac:dyDescent="0.25">
      <c r="A635" s="216" t="s">
        <v>52</v>
      </c>
      <c r="B635" s="226" t="s">
        <v>584</v>
      </c>
      <c r="C635" s="537" t="s">
        <v>66</v>
      </c>
      <c r="D635" s="26">
        <f>'Функц. 2024-2026'!F379</f>
        <v>100</v>
      </c>
      <c r="E635" s="108">
        <f>'Функц. 2024-2026'!H379</f>
        <v>100</v>
      </c>
      <c r="F635" s="108">
        <f>'Функц. 2024-2026'!J379</f>
        <v>100</v>
      </c>
      <c r="G635" s="559">
        <f t="shared" si="178"/>
        <v>1</v>
      </c>
      <c r="H635" s="68"/>
    </row>
    <row r="636" spans="1:31" ht="31.5" x14ac:dyDescent="0.25">
      <c r="A636" s="201" t="s">
        <v>333</v>
      </c>
      <c r="B636" s="226" t="s">
        <v>581</v>
      </c>
      <c r="C636" s="458"/>
      <c r="D636" s="26">
        <f t="shared" ref="D636:F640" si="194">D637</f>
        <v>2664</v>
      </c>
      <c r="E636" s="26">
        <f t="shared" si="194"/>
        <v>2664</v>
      </c>
      <c r="F636" s="26">
        <f t="shared" si="194"/>
        <v>1468.1</v>
      </c>
      <c r="G636" s="559">
        <f t="shared" si="178"/>
        <v>0.55108858858858856</v>
      </c>
      <c r="H636" s="68"/>
    </row>
    <row r="637" spans="1:31" x14ac:dyDescent="0.25">
      <c r="A637" s="201" t="s">
        <v>658</v>
      </c>
      <c r="B637" s="226" t="s">
        <v>671</v>
      </c>
      <c r="C637" s="537"/>
      <c r="D637" s="26">
        <f>D640</f>
        <v>2664</v>
      </c>
      <c r="E637" s="26">
        <f>E640+E638</f>
        <v>2664</v>
      </c>
      <c r="F637" s="26">
        <f>F640+F638</f>
        <v>1468.1</v>
      </c>
      <c r="G637" s="559">
        <f t="shared" si="178"/>
        <v>0.55108858858858856</v>
      </c>
      <c r="H637" s="68"/>
    </row>
    <row r="638" spans="1:31" ht="31.5" x14ac:dyDescent="0.25">
      <c r="A638" s="288" t="s">
        <v>61</v>
      </c>
      <c r="B638" s="226" t="s">
        <v>671</v>
      </c>
      <c r="C638" s="537" t="s">
        <v>411</v>
      </c>
      <c r="D638" s="26">
        <f>D639</f>
        <v>0</v>
      </c>
      <c r="E638" s="26">
        <f t="shared" ref="E638:F638" si="195">E639</f>
        <v>765.2</v>
      </c>
      <c r="F638" s="26">
        <f t="shared" si="195"/>
        <v>765.2</v>
      </c>
      <c r="G638" s="559">
        <f t="shared" si="178"/>
        <v>1</v>
      </c>
      <c r="H638" s="68"/>
    </row>
    <row r="639" spans="1:31" x14ac:dyDescent="0.25">
      <c r="A639" s="288" t="s">
        <v>62</v>
      </c>
      <c r="B639" s="226" t="s">
        <v>671</v>
      </c>
      <c r="C639" s="537" t="s">
        <v>412</v>
      </c>
      <c r="D639" s="26">
        <f>'Функц. 2024-2026'!F383</f>
        <v>0</v>
      </c>
      <c r="E639" s="26">
        <f>'Функц. 2024-2026'!H383</f>
        <v>765.2</v>
      </c>
      <c r="F639" s="26">
        <f>'Функц. 2024-2026'!J383</f>
        <v>765.2</v>
      </c>
      <c r="G639" s="559">
        <f t="shared" si="178"/>
        <v>1</v>
      </c>
      <c r="H639" s="68"/>
    </row>
    <row r="640" spans="1:31" x14ac:dyDescent="0.25">
      <c r="A640" s="197" t="s">
        <v>42</v>
      </c>
      <c r="B640" s="226" t="s">
        <v>671</v>
      </c>
      <c r="C640" s="537" t="s">
        <v>363</v>
      </c>
      <c r="D640" s="26">
        <f t="shared" si="194"/>
        <v>2664</v>
      </c>
      <c r="E640" s="26">
        <f t="shared" si="194"/>
        <v>1898.8</v>
      </c>
      <c r="F640" s="26">
        <f t="shared" si="194"/>
        <v>702.9</v>
      </c>
      <c r="G640" s="559">
        <f t="shared" si="178"/>
        <v>0.37018116705287551</v>
      </c>
      <c r="H640" s="68"/>
    </row>
    <row r="641" spans="1:8" ht="31.5" x14ac:dyDescent="0.25">
      <c r="A641" s="197" t="s">
        <v>122</v>
      </c>
      <c r="B641" s="226" t="s">
        <v>671</v>
      </c>
      <c r="C641" s="537" t="s">
        <v>364</v>
      </c>
      <c r="D641" s="26">
        <f>'Функц. 2024-2026'!F385</f>
        <v>2664</v>
      </c>
      <c r="E641" s="108">
        <f>'Функц. 2024-2026'!H385</f>
        <v>1898.8</v>
      </c>
      <c r="F641" s="108">
        <f>'Функц. 2024-2026'!J385</f>
        <v>702.9</v>
      </c>
      <c r="G641" s="559">
        <f t="shared" si="178"/>
        <v>0.37018116705287551</v>
      </c>
      <c r="H641" s="68"/>
    </row>
    <row r="642" spans="1:8" x14ac:dyDescent="0.25">
      <c r="A642" s="201" t="s">
        <v>391</v>
      </c>
      <c r="B642" s="329" t="s">
        <v>456</v>
      </c>
      <c r="C642" s="530"/>
      <c r="D642" s="26">
        <f t="shared" ref="D642:F644" si="196">D643</f>
        <v>32149.4</v>
      </c>
      <c r="E642" s="108">
        <f t="shared" si="196"/>
        <v>32149.4</v>
      </c>
      <c r="F642" s="108">
        <f t="shared" si="196"/>
        <v>31448.1</v>
      </c>
      <c r="G642" s="559">
        <f t="shared" si="178"/>
        <v>0.97818621809427231</v>
      </c>
      <c r="H642" s="68"/>
    </row>
    <row r="643" spans="1:8" x14ac:dyDescent="0.25">
      <c r="A643" s="197" t="s">
        <v>420</v>
      </c>
      <c r="B643" s="283" t="s">
        <v>675</v>
      </c>
      <c r="C643" s="530"/>
      <c r="D643" s="26">
        <f t="shared" si="196"/>
        <v>32149.4</v>
      </c>
      <c r="E643" s="108">
        <f t="shared" si="196"/>
        <v>32149.4</v>
      </c>
      <c r="F643" s="108">
        <f t="shared" si="196"/>
        <v>31448.1</v>
      </c>
      <c r="G643" s="559">
        <f t="shared" si="178"/>
        <v>0.97818621809427231</v>
      </c>
      <c r="H643" s="68"/>
    </row>
    <row r="644" spans="1:8" x14ac:dyDescent="0.25">
      <c r="A644" s="197" t="s">
        <v>121</v>
      </c>
      <c r="B644" s="283" t="s">
        <v>675</v>
      </c>
      <c r="C644" s="530">
        <v>200</v>
      </c>
      <c r="D644" s="26">
        <f t="shared" si="196"/>
        <v>32149.4</v>
      </c>
      <c r="E644" s="108">
        <f t="shared" si="196"/>
        <v>32149.4</v>
      </c>
      <c r="F644" s="108">
        <f t="shared" si="196"/>
        <v>31448.1</v>
      </c>
      <c r="G644" s="559">
        <f t="shared" si="178"/>
        <v>0.97818621809427231</v>
      </c>
      <c r="H644" s="68"/>
    </row>
    <row r="645" spans="1:8" x14ac:dyDescent="0.25">
      <c r="A645" s="197" t="s">
        <v>52</v>
      </c>
      <c r="B645" s="283" t="s">
        <v>675</v>
      </c>
      <c r="C645" s="530">
        <v>240</v>
      </c>
      <c r="D645" s="26">
        <f>'Функц. 2024-2026'!F334</f>
        <v>32149.4</v>
      </c>
      <c r="E645" s="108">
        <f>'Функц. 2024-2026'!H334</f>
        <v>32149.4</v>
      </c>
      <c r="F645" s="108">
        <f>'Функц. 2024-2026'!J334</f>
        <v>31448.1</v>
      </c>
      <c r="G645" s="559">
        <f t="shared" si="178"/>
        <v>0.97818621809427231</v>
      </c>
      <c r="H645" s="68"/>
    </row>
    <row r="646" spans="1:8" x14ac:dyDescent="0.25">
      <c r="A646" s="217" t="s">
        <v>191</v>
      </c>
      <c r="B646" s="226" t="s">
        <v>331</v>
      </c>
      <c r="C646" s="530"/>
      <c r="D646" s="26">
        <f t="shared" ref="D646:F647" si="197">D647</f>
        <v>27627.9</v>
      </c>
      <c r="E646" s="26">
        <f t="shared" si="197"/>
        <v>27627.700000000004</v>
      </c>
      <c r="F646" s="26">
        <f t="shared" si="197"/>
        <v>26918.1</v>
      </c>
      <c r="G646" s="559">
        <f t="shared" si="178"/>
        <v>0.97431563249926678</v>
      </c>
      <c r="H646" s="68"/>
    </row>
    <row r="647" spans="1:8" ht="31.5" x14ac:dyDescent="0.25">
      <c r="A647" s="217" t="s">
        <v>193</v>
      </c>
      <c r="B647" s="226" t="s">
        <v>334</v>
      </c>
      <c r="C647" s="530"/>
      <c r="D647" s="26">
        <f t="shared" si="197"/>
        <v>27627.9</v>
      </c>
      <c r="E647" s="26">
        <f t="shared" si="197"/>
        <v>27627.700000000004</v>
      </c>
      <c r="F647" s="26">
        <f t="shared" si="197"/>
        <v>26918.1</v>
      </c>
      <c r="G647" s="559">
        <f t="shared" si="178"/>
        <v>0.97431563249926678</v>
      </c>
      <c r="H647" s="68"/>
    </row>
    <row r="648" spans="1:8" x14ac:dyDescent="0.25">
      <c r="A648" s="218" t="s">
        <v>207</v>
      </c>
      <c r="B648" s="226" t="s">
        <v>585</v>
      </c>
      <c r="C648" s="530"/>
      <c r="D648" s="26">
        <f>D649+D654+D657</f>
        <v>27627.9</v>
      </c>
      <c r="E648" s="108">
        <f>E649+E654+E657</f>
        <v>27627.700000000004</v>
      </c>
      <c r="F648" s="108">
        <f>F649+F654+F657</f>
        <v>26918.1</v>
      </c>
      <c r="G648" s="559">
        <f t="shared" si="178"/>
        <v>0.97431563249926678</v>
      </c>
      <c r="H648" s="68"/>
    </row>
    <row r="649" spans="1:8" ht="31.5" x14ac:dyDescent="0.25">
      <c r="A649" s="216" t="s">
        <v>208</v>
      </c>
      <c r="B649" s="226" t="s">
        <v>586</v>
      </c>
      <c r="C649" s="538"/>
      <c r="D649" s="26">
        <f>D650+D652</f>
        <v>3610.5</v>
      </c>
      <c r="E649" s="26">
        <f>E650+E652</f>
        <v>3610.3</v>
      </c>
      <c r="F649" s="26">
        <f>F650+F652</f>
        <v>3021.9</v>
      </c>
      <c r="G649" s="559">
        <f t="shared" si="178"/>
        <v>0.83702185413954522</v>
      </c>
      <c r="H649" s="68"/>
    </row>
    <row r="650" spans="1:8" x14ac:dyDescent="0.25">
      <c r="A650" s="216" t="s">
        <v>121</v>
      </c>
      <c r="B650" s="226" t="s">
        <v>586</v>
      </c>
      <c r="C650" s="530">
        <v>200</v>
      </c>
      <c r="D650" s="26">
        <f>D651</f>
        <v>2011</v>
      </c>
      <c r="E650" s="108">
        <f>E651</f>
        <v>2010.8</v>
      </c>
      <c r="F650" s="108">
        <f>F651</f>
        <v>1422.4</v>
      </c>
      <c r="G650" s="559">
        <f t="shared" si="178"/>
        <v>0.70738014720509257</v>
      </c>
      <c r="H650" s="68"/>
    </row>
    <row r="651" spans="1:8" x14ac:dyDescent="0.25">
      <c r="A651" s="216" t="s">
        <v>52</v>
      </c>
      <c r="B651" s="226" t="s">
        <v>586</v>
      </c>
      <c r="C651" s="530">
        <v>240</v>
      </c>
      <c r="D651" s="26">
        <f>'Функц. 2024-2026'!F530</f>
        <v>2011</v>
      </c>
      <c r="E651" s="108">
        <f>'Функц. 2024-2026'!H530</f>
        <v>2010.8</v>
      </c>
      <c r="F651" s="108">
        <f>'Функц. 2024-2026'!J530</f>
        <v>1422.4</v>
      </c>
      <c r="G651" s="559">
        <f t="shared" ref="G651:G714" si="198">F651/E651</f>
        <v>0.70738014720509257</v>
      </c>
      <c r="H651" s="68"/>
    </row>
    <row r="652" spans="1:8" x14ac:dyDescent="0.25">
      <c r="A652" s="197" t="s">
        <v>42</v>
      </c>
      <c r="B652" s="226" t="s">
        <v>586</v>
      </c>
      <c r="C652" s="530">
        <v>800</v>
      </c>
      <c r="D652" s="26">
        <f>D653</f>
        <v>1599.5</v>
      </c>
      <c r="E652" s="26">
        <f>E653</f>
        <v>1599.5</v>
      </c>
      <c r="F652" s="26">
        <f>F653</f>
        <v>1599.5</v>
      </c>
      <c r="G652" s="559">
        <f t="shared" si="198"/>
        <v>1</v>
      </c>
      <c r="H652" s="68"/>
    </row>
    <row r="653" spans="1:8" x14ac:dyDescent="0.25">
      <c r="A653" s="197" t="s">
        <v>58</v>
      </c>
      <c r="B653" s="226" t="s">
        <v>586</v>
      </c>
      <c r="C653" s="530">
        <v>850</v>
      </c>
      <c r="D653" s="26">
        <f>+'Функц. 2024-2026'!F532</f>
        <v>1599.5</v>
      </c>
      <c r="E653" s="26">
        <f>'Функц. 2024-2026'!H532</f>
        <v>1599.5</v>
      </c>
      <c r="F653" s="108">
        <f>'Функц. 2024-2026'!J532</f>
        <v>1599.5</v>
      </c>
      <c r="G653" s="559">
        <f t="shared" si="198"/>
        <v>1</v>
      </c>
      <c r="H653" s="68"/>
    </row>
    <row r="654" spans="1:8" ht="31.5" x14ac:dyDescent="0.25">
      <c r="A654" s="216" t="s">
        <v>209</v>
      </c>
      <c r="B654" s="226" t="s">
        <v>587</v>
      </c>
      <c r="C654" s="538"/>
      <c r="D654" s="26">
        <f t="shared" ref="D654:F655" si="199">D655</f>
        <v>14789.500000000002</v>
      </c>
      <c r="E654" s="108">
        <f t="shared" si="199"/>
        <v>14789.500000000002</v>
      </c>
      <c r="F654" s="108">
        <f t="shared" si="199"/>
        <v>14681.4</v>
      </c>
      <c r="G654" s="559">
        <f t="shared" si="198"/>
        <v>0.99269076033672521</v>
      </c>
      <c r="H654" s="68"/>
    </row>
    <row r="655" spans="1:8" ht="47.25" x14ac:dyDescent="0.25">
      <c r="A655" s="216" t="s">
        <v>41</v>
      </c>
      <c r="B655" s="226" t="s">
        <v>587</v>
      </c>
      <c r="C655" s="530">
        <v>100</v>
      </c>
      <c r="D655" s="26">
        <f t="shared" si="199"/>
        <v>14789.500000000002</v>
      </c>
      <c r="E655" s="108">
        <f t="shared" si="199"/>
        <v>14789.500000000002</v>
      </c>
      <c r="F655" s="108">
        <f t="shared" si="199"/>
        <v>14681.4</v>
      </c>
      <c r="G655" s="559">
        <f t="shared" si="198"/>
        <v>0.99269076033672521</v>
      </c>
      <c r="H655" s="68"/>
    </row>
    <row r="656" spans="1:8" x14ac:dyDescent="0.25">
      <c r="A656" s="216" t="s">
        <v>97</v>
      </c>
      <c r="B656" s="226" t="s">
        <v>587</v>
      </c>
      <c r="C656" s="530">
        <v>120</v>
      </c>
      <c r="D656" s="26">
        <f>'Функц. 2024-2026'!F535</f>
        <v>14789.500000000002</v>
      </c>
      <c r="E656" s="108">
        <f>'Функц. 2024-2026'!H535</f>
        <v>14789.500000000002</v>
      </c>
      <c r="F656" s="108">
        <f>'Функц. 2024-2026'!J535</f>
        <v>14681.4</v>
      </c>
      <c r="G656" s="559">
        <f t="shared" si="198"/>
        <v>0.99269076033672521</v>
      </c>
      <c r="H656" s="68"/>
    </row>
    <row r="657" spans="1:31" ht="31.5" x14ac:dyDescent="0.25">
      <c r="A657" s="216" t="s">
        <v>210</v>
      </c>
      <c r="B657" s="226" t="s">
        <v>588</v>
      </c>
      <c r="C657" s="538"/>
      <c r="D657" s="26">
        <f t="shared" ref="D657:F658" si="200">D658</f>
        <v>9227.9</v>
      </c>
      <c r="E657" s="108">
        <f t="shared" si="200"/>
        <v>9227.9</v>
      </c>
      <c r="F657" s="108">
        <f t="shared" si="200"/>
        <v>9214.7999999999993</v>
      </c>
      <c r="G657" s="559">
        <f t="shared" si="198"/>
        <v>0.99858039207186899</v>
      </c>
      <c r="H657" s="68"/>
    </row>
    <row r="658" spans="1:31" ht="47.25" x14ac:dyDescent="0.25">
      <c r="A658" s="216" t="s">
        <v>41</v>
      </c>
      <c r="B658" s="226" t="s">
        <v>588</v>
      </c>
      <c r="C658" s="530">
        <v>100</v>
      </c>
      <c r="D658" s="26">
        <f t="shared" si="200"/>
        <v>9227.9</v>
      </c>
      <c r="E658" s="108">
        <f t="shared" si="200"/>
        <v>9227.9</v>
      </c>
      <c r="F658" s="108">
        <f t="shared" si="200"/>
        <v>9214.7999999999993</v>
      </c>
      <c r="G658" s="559">
        <f t="shared" si="198"/>
        <v>0.99858039207186899</v>
      </c>
      <c r="H658" s="68"/>
    </row>
    <row r="659" spans="1:31" x14ac:dyDescent="0.25">
      <c r="A659" s="216" t="s">
        <v>97</v>
      </c>
      <c r="B659" s="226" t="s">
        <v>588</v>
      </c>
      <c r="C659" s="530">
        <v>120</v>
      </c>
      <c r="D659" s="26">
        <f>'Функц. 2024-2026'!F538</f>
        <v>9227.9</v>
      </c>
      <c r="E659" s="108">
        <f>'Функц. 2024-2026'!H538</f>
        <v>9227.9</v>
      </c>
      <c r="F659" s="108">
        <f>'Функц. 2024-2026'!J538</f>
        <v>9214.7999999999993</v>
      </c>
      <c r="G659" s="559">
        <f t="shared" si="198"/>
        <v>0.99858039207186899</v>
      </c>
      <c r="H659" s="68"/>
    </row>
    <row r="660" spans="1:31" x14ac:dyDescent="0.25">
      <c r="A660" s="293" t="s">
        <v>760</v>
      </c>
      <c r="B660" s="323" t="s">
        <v>709</v>
      </c>
      <c r="C660" s="552"/>
      <c r="D660" s="454">
        <f>D661</f>
        <v>550</v>
      </c>
      <c r="E660" s="454">
        <f t="shared" ref="E660:F664" si="201">E661</f>
        <v>550</v>
      </c>
      <c r="F660" s="454">
        <f t="shared" si="201"/>
        <v>550</v>
      </c>
      <c r="G660" s="558">
        <f t="shared" si="198"/>
        <v>1</v>
      </c>
      <c r="H660" s="61"/>
      <c r="I660" s="104"/>
      <c r="J660" s="104"/>
      <c r="K660" s="104"/>
      <c r="L660" s="104"/>
      <c r="M660" s="104"/>
      <c r="N660" s="104"/>
      <c r="O660" s="104"/>
      <c r="P660" s="104"/>
      <c r="Q660" s="104"/>
      <c r="R660" s="104"/>
      <c r="S660" s="104"/>
      <c r="T660" s="104"/>
      <c r="U660" s="104"/>
      <c r="V660" s="104"/>
      <c r="W660" s="104"/>
      <c r="X660" s="104"/>
      <c r="Y660" s="104"/>
      <c r="Z660" s="104"/>
      <c r="AA660" s="104"/>
      <c r="AB660" s="104"/>
      <c r="AC660" s="104"/>
      <c r="AD660" s="104"/>
      <c r="AE660" s="104"/>
    </row>
    <row r="661" spans="1:31" ht="31.5" x14ac:dyDescent="0.25">
      <c r="A661" s="216" t="s">
        <v>708</v>
      </c>
      <c r="B661" s="355" t="s">
        <v>806</v>
      </c>
      <c r="C661" s="536"/>
      <c r="D661" s="26">
        <f>D662</f>
        <v>550</v>
      </c>
      <c r="E661" s="26">
        <f t="shared" si="201"/>
        <v>550</v>
      </c>
      <c r="F661" s="26">
        <f t="shared" si="201"/>
        <v>550</v>
      </c>
      <c r="G661" s="559">
        <f t="shared" si="198"/>
        <v>1</v>
      </c>
      <c r="H661" s="68"/>
    </row>
    <row r="662" spans="1:31" x14ac:dyDescent="0.25">
      <c r="A662" s="369" t="s">
        <v>807</v>
      </c>
      <c r="B662" s="355" t="s">
        <v>808</v>
      </c>
      <c r="C662" s="536"/>
      <c r="D662" s="26">
        <f>D663</f>
        <v>550</v>
      </c>
      <c r="E662" s="26">
        <f t="shared" si="201"/>
        <v>550</v>
      </c>
      <c r="F662" s="26">
        <f t="shared" si="201"/>
        <v>550</v>
      </c>
      <c r="G662" s="559">
        <f t="shared" si="198"/>
        <v>1</v>
      </c>
      <c r="H662" s="68"/>
    </row>
    <row r="663" spans="1:31" ht="31.5" x14ac:dyDescent="0.25">
      <c r="A663" s="369" t="s">
        <v>810</v>
      </c>
      <c r="B663" s="355" t="s">
        <v>809</v>
      </c>
      <c r="C663" s="536"/>
      <c r="D663" s="26">
        <f>D664</f>
        <v>550</v>
      </c>
      <c r="E663" s="26">
        <f t="shared" si="201"/>
        <v>550</v>
      </c>
      <c r="F663" s="26">
        <f t="shared" si="201"/>
        <v>550</v>
      </c>
      <c r="G663" s="559">
        <f t="shared" si="198"/>
        <v>1</v>
      </c>
      <c r="H663" s="68"/>
    </row>
    <row r="664" spans="1:31" x14ac:dyDescent="0.25">
      <c r="A664" s="366" t="s">
        <v>121</v>
      </c>
      <c r="B664" s="355" t="s">
        <v>809</v>
      </c>
      <c r="C664" s="536" t="s">
        <v>37</v>
      </c>
      <c r="D664" s="26">
        <f>D665</f>
        <v>550</v>
      </c>
      <c r="E664" s="26">
        <f t="shared" si="201"/>
        <v>550</v>
      </c>
      <c r="F664" s="26">
        <f t="shared" si="201"/>
        <v>550</v>
      </c>
      <c r="G664" s="559">
        <f t="shared" si="198"/>
        <v>1</v>
      </c>
      <c r="H664" s="68"/>
    </row>
    <row r="665" spans="1:31" x14ac:dyDescent="0.25">
      <c r="A665" s="366" t="s">
        <v>52</v>
      </c>
      <c r="B665" s="355" t="s">
        <v>809</v>
      </c>
      <c r="C665" s="536" t="s">
        <v>66</v>
      </c>
      <c r="D665" s="26">
        <f>'Функц. 2024-2026'!F391</f>
        <v>550</v>
      </c>
      <c r="E665" s="108">
        <f>'Функц. 2024-2026'!H391</f>
        <v>550</v>
      </c>
      <c r="F665" s="108">
        <f>'Функц. 2024-2026'!J391</f>
        <v>550</v>
      </c>
      <c r="G665" s="559">
        <f t="shared" si="198"/>
        <v>1</v>
      </c>
      <c r="H665" s="68"/>
    </row>
    <row r="666" spans="1:31" x14ac:dyDescent="0.25">
      <c r="A666" s="296" t="s">
        <v>366</v>
      </c>
      <c r="B666" s="226"/>
      <c r="C666" s="548"/>
      <c r="D666" s="454">
        <f>D573+D567+D539+D513+D477+D377+D339+D322+D258+D250+D232+D197+D100+D16+D660+D10+D371</f>
        <v>5416315.1999999993</v>
      </c>
      <c r="E666" s="454">
        <f>E573+E567+E539+E513+E477+E377+E339+E322+E258+E250+E232+E197+E100+E16+E660+E10+E371</f>
        <v>5411523.7999999998</v>
      </c>
      <c r="F666" s="454">
        <f>F573+F567+F539+F513+F477+F377+F339+F322+F258+F250+F232+F197+F100+F16+F660+F10+F371</f>
        <v>5334583.7</v>
      </c>
      <c r="G666" s="558">
        <f t="shared" si="198"/>
        <v>0.98578217469911167</v>
      </c>
      <c r="H666" s="68"/>
    </row>
    <row r="667" spans="1:31" ht="31.5" x14ac:dyDescent="0.25">
      <c r="A667" s="291" t="s">
        <v>282</v>
      </c>
      <c r="B667" s="323" t="s">
        <v>100</v>
      </c>
      <c r="C667" s="542"/>
      <c r="D667" s="454">
        <f>D668+D671+D674+H677+D684</f>
        <v>29888.400000000001</v>
      </c>
      <c r="E667" s="454">
        <f>E668+E671+E674+H677+E684</f>
        <v>29888.400000000001</v>
      </c>
      <c r="F667" s="454">
        <f>F668+F671+F674+I677+F684</f>
        <v>29793.300000000003</v>
      </c>
      <c r="G667" s="558">
        <f t="shared" si="198"/>
        <v>0.99681816356847475</v>
      </c>
      <c r="H667" s="68"/>
    </row>
    <row r="668" spans="1:31" x14ac:dyDescent="0.25">
      <c r="A668" s="297" t="s">
        <v>289</v>
      </c>
      <c r="B668" s="226" t="s">
        <v>292</v>
      </c>
      <c r="C668" s="530"/>
      <c r="D668" s="26">
        <f t="shared" ref="D668:F669" si="202">D669</f>
        <v>3213.4</v>
      </c>
      <c r="E668" s="26">
        <f t="shared" si="202"/>
        <v>3213.4</v>
      </c>
      <c r="F668" s="26">
        <f t="shared" si="202"/>
        <v>3212.8</v>
      </c>
      <c r="G668" s="559">
        <f t="shared" si="198"/>
        <v>0.99981328188211871</v>
      </c>
      <c r="H668" s="68"/>
    </row>
    <row r="669" spans="1:31" ht="47.25" x14ac:dyDescent="0.25">
      <c r="A669" s="216" t="s">
        <v>41</v>
      </c>
      <c r="B669" s="226" t="s">
        <v>292</v>
      </c>
      <c r="C669" s="458">
        <v>100</v>
      </c>
      <c r="D669" s="26">
        <f t="shared" si="202"/>
        <v>3213.4</v>
      </c>
      <c r="E669" s="26">
        <f t="shared" si="202"/>
        <v>3213.4</v>
      </c>
      <c r="F669" s="26">
        <f t="shared" si="202"/>
        <v>3212.8</v>
      </c>
      <c r="G669" s="559">
        <f t="shared" si="198"/>
        <v>0.99981328188211871</v>
      </c>
      <c r="H669" s="68"/>
    </row>
    <row r="670" spans="1:31" x14ac:dyDescent="0.25">
      <c r="A670" s="216" t="s">
        <v>97</v>
      </c>
      <c r="B670" s="226" t="s">
        <v>292</v>
      </c>
      <c r="C670" s="530">
        <v>120</v>
      </c>
      <c r="D670" s="26">
        <f>'Функц. 2024-2026'!F29</f>
        <v>3213.4</v>
      </c>
      <c r="E670" s="26">
        <f>'Функц. 2024-2026'!H29</f>
        <v>3213.4</v>
      </c>
      <c r="F670" s="26">
        <f>'Функц. 2024-2026'!J29</f>
        <v>3212.8</v>
      </c>
      <c r="G670" s="559">
        <f t="shared" si="198"/>
        <v>0.99981328188211871</v>
      </c>
      <c r="H670" s="68"/>
    </row>
    <row r="671" spans="1:31" x14ac:dyDescent="0.25">
      <c r="A671" s="216" t="s">
        <v>341</v>
      </c>
      <c r="B671" s="226" t="s">
        <v>293</v>
      </c>
      <c r="C671" s="530"/>
      <c r="D671" s="26">
        <f t="shared" ref="D671:F672" si="203">D672</f>
        <v>2324.9</v>
      </c>
      <c r="E671" s="26">
        <f t="shared" si="203"/>
        <v>2324.9</v>
      </c>
      <c r="F671" s="26">
        <f t="shared" si="203"/>
        <v>2323.9</v>
      </c>
      <c r="G671" s="559">
        <f t="shared" si="198"/>
        <v>0.99956987397307406</v>
      </c>
      <c r="H671" s="68"/>
    </row>
    <row r="672" spans="1:31" ht="47.25" x14ac:dyDescent="0.25">
      <c r="A672" s="216" t="s">
        <v>41</v>
      </c>
      <c r="B672" s="226" t="s">
        <v>293</v>
      </c>
      <c r="C672" s="458">
        <v>100</v>
      </c>
      <c r="D672" s="26">
        <f t="shared" si="203"/>
        <v>2324.9</v>
      </c>
      <c r="E672" s="26">
        <f t="shared" si="203"/>
        <v>2324.9</v>
      </c>
      <c r="F672" s="26">
        <f t="shared" si="203"/>
        <v>2323.9</v>
      </c>
      <c r="G672" s="559">
        <f t="shared" si="198"/>
        <v>0.99956987397307406</v>
      </c>
      <c r="H672" s="68"/>
    </row>
    <row r="673" spans="1:8" x14ac:dyDescent="0.25">
      <c r="A673" s="216" t="s">
        <v>97</v>
      </c>
      <c r="B673" s="226" t="s">
        <v>293</v>
      </c>
      <c r="C673" s="530">
        <v>120</v>
      </c>
      <c r="D673" s="26">
        <f>'Функц. 2024-2026'!F32</f>
        <v>2324.9</v>
      </c>
      <c r="E673" s="26">
        <f>'Функц. 2024-2026'!H32</f>
        <v>2324.9</v>
      </c>
      <c r="F673" s="26">
        <f>'Функц. 2024-2026'!J32</f>
        <v>2323.9</v>
      </c>
      <c r="G673" s="559">
        <f t="shared" si="198"/>
        <v>0.99956987397307406</v>
      </c>
      <c r="H673" s="68"/>
    </row>
    <row r="674" spans="1:8" x14ac:dyDescent="0.25">
      <c r="A674" s="218" t="s">
        <v>290</v>
      </c>
      <c r="B674" s="226" t="s">
        <v>291</v>
      </c>
      <c r="C674" s="530"/>
      <c r="D674" s="26">
        <f>D675+D678+D681</f>
        <v>12949.900000000001</v>
      </c>
      <c r="E674" s="26">
        <f>E675+E678+E681</f>
        <v>12949.900000000001</v>
      </c>
      <c r="F674" s="26">
        <f>F675+F678+F681</f>
        <v>12873.900000000001</v>
      </c>
      <c r="G674" s="559">
        <f t="shared" si="198"/>
        <v>0.99413122881257765</v>
      </c>
      <c r="H674" s="68"/>
    </row>
    <row r="675" spans="1:8" ht="31.5" x14ac:dyDescent="0.25">
      <c r="A675" s="216" t="s">
        <v>294</v>
      </c>
      <c r="B675" s="226" t="s">
        <v>295</v>
      </c>
      <c r="C675" s="530"/>
      <c r="D675" s="26">
        <f t="shared" ref="D675:F676" si="204">D676</f>
        <v>1988.8000000000002</v>
      </c>
      <c r="E675" s="26">
        <f t="shared" si="204"/>
        <v>1988.8000000000002</v>
      </c>
      <c r="F675" s="26">
        <f t="shared" si="204"/>
        <v>1915.3</v>
      </c>
      <c r="G675" s="559">
        <f t="shared" si="198"/>
        <v>0.96304304102976657</v>
      </c>
      <c r="H675" s="68"/>
    </row>
    <row r="676" spans="1:8" x14ac:dyDescent="0.25">
      <c r="A676" s="216" t="s">
        <v>121</v>
      </c>
      <c r="B676" s="226" t="s">
        <v>295</v>
      </c>
      <c r="C676" s="530">
        <v>200</v>
      </c>
      <c r="D676" s="26">
        <f t="shared" si="204"/>
        <v>1988.8000000000002</v>
      </c>
      <c r="E676" s="26">
        <f t="shared" si="204"/>
        <v>1988.8000000000002</v>
      </c>
      <c r="F676" s="26">
        <f t="shared" si="204"/>
        <v>1915.3</v>
      </c>
      <c r="G676" s="559">
        <f t="shared" si="198"/>
        <v>0.96304304102976657</v>
      </c>
      <c r="H676" s="68"/>
    </row>
    <row r="677" spans="1:8" x14ac:dyDescent="0.25">
      <c r="A677" s="216" t="s">
        <v>52</v>
      </c>
      <c r="B677" s="226" t="s">
        <v>295</v>
      </c>
      <c r="C677" s="530">
        <v>240</v>
      </c>
      <c r="D677" s="26">
        <f>'Функц. 2024-2026'!F36</f>
        <v>1988.8000000000002</v>
      </c>
      <c r="E677" s="26">
        <f>'Функц. 2024-2026'!H36</f>
        <v>1988.8000000000002</v>
      </c>
      <c r="F677" s="26">
        <f>'Функц. 2024-2026'!J36</f>
        <v>1915.3</v>
      </c>
      <c r="G677" s="559">
        <f t="shared" si="198"/>
        <v>0.96304304102976657</v>
      </c>
      <c r="H677" s="68"/>
    </row>
    <row r="678" spans="1:8" ht="47.25" x14ac:dyDescent="0.25">
      <c r="A678" s="197" t="s">
        <v>298</v>
      </c>
      <c r="B678" s="226" t="s">
        <v>296</v>
      </c>
      <c r="C678" s="530"/>
      <c r="D678" s="26">
        <f t="shared" ref="D678:F679" si="205">D679</f>
        <v>5162.3999999999996</v>
      </c>
      <c r="E678" s="26">
        <f t="shared" si="205"/>
        <v>5162.3999999999996</v>
      </c>
      <c r="F678" s="26">
        <f t="shared" si="205"/>
        <v>5160.8</v>
      </c>
      <c r="G678" s="559">
        <f t="shared" si="198"/>
        <v>0.99969006663567339</v>
      </c>
      <c r="H678" s="68"/>
    </row>
    <row r="679" spans="1:8" ht="47.25" x14ac:dyDescent="0.25">
      <c r="A679" s="216" t="s">
        <v>41</v>
      </c>
      <c r="B679" s="226" t="s">
        <v>296</v>
      </c>
      <c r="C679" s="458">
        <v>100</v>
      </c>
      <c r="D679" s="26">
        <f t="shared" si="205"/>
        <v>5162.3999999999996</v>
      </c>
      <c r="E679" s="26">
        <f t="shared" si="205"/>
        <v>5162.3999999999996</v>
      </c>
      <c r="F679" s="26">
        <f t="shared" si="205"/>
        <v>5160.8</v>
      </c>
      <c r="G679" s="559">
        <f t="shared" si="198"/>
        <v>0.99969006663567339</v>
      </c>
      <c r="H679" s="68"/>
    </row>
    <row r="680" spans="1:8" x14ac:dyDescent="0.25">
      <c r="A680" s="216" t="s">
        <v>97</v>
      </c>
      <c r="B680" s="226" t="s">
        <v>296</v>
      </c>
      <c r="C680" s="530">
        <v>120</v>
      </c>
      <c r="D680" s="26">
        <f>'Функц. 2024-2026'!F39</f>
        <v>5162.3999999999996</v>
      </c>
      <c r="E680" s="26">
        <f>'Функц. 2024-2026'!H39</f>
        <v>5162.3999999999996</v>
      </c>
      <c r="F680" s="26">
        <f>'Функц. 2024-2026'!J39</f>
        <v>5160.8</v>
      </c>
      <c r="G680" s="559">
        <f t="shared" si="198"/>
        <v>0.99969006663567339</v>
      </c>
      <c r="H680" s="68"/>
    </row>
    <row r="681" spans="1:8" ht="31.5" x14ac:dyDescent="0.25">
      <c r="A681" s="216" t="s">
        <v>299</v>
      </c>
      <c r="B681" s="226" t="s">
        <v>297</v>
      </c>
      <c r="C681" s="530"/>
      <c r="D681" s="26">
        <f t="shared" ref="D681:F682" si="206">D682</f>
        <v>5798.7000000000007</v>
      </c>
      <c r="E681" s="26">
        <f t="shared" si="206"/>
        <v>5798.7000000000007</v>
      </c>
      <c r="F681" s="26">
        <f t="shared" si="206"/>
        <v>5797.8</v>
      </c>
      <c r="G681" s="559">
        <f t="shared" si="198"/>
        <v>0.99984479279838578</v>
      </c>
      <c r="H681" s="68"/>
    </row>
    <row r="682" spans="1:8" ht="47.25" x14ac:dyDescent="0.25">
      <c r="A682" s="216" t="s">
        <v>41</v>
      </c>
      <c r="B682" s="226" t="s">
        <v>297</v>
      </c>
      <c r="C682" s="458">
        <v>100</v>
      </c>
      <c r="D682" s="26">
        <f t="shared" si="206"/>
        <v>5798.7000000000007</v>
      </c>
      <c r="E682" s="26">
        <f t="shared" si="206"/>
        <v>5798.7000000000007</v>
      </c>
      <c r="F682" s="26">
        <f t="shared" si="206"/>
        <v>5797.8</v>
      </c>
      <c r="G682" s="559">
        <f t="shared" si="198"/>
        <v>0.99984479279838578</v>
      </c>
      <c r="H682" s="68"/>
    </row>
    <row r="683" spans="1:8" x14ac:dyDescent="0.25">
      <c r="A683" s="216" t="s">
        <v>97</v>
      </c>
      <c r="B683" s="226" t="s">
        <v>297</v>
      </c>
      <c r="C683" s="530">
        <v>120</v>
      </c>
      <c r="D683" s="26">
        <f>'Функц. 2024-2026'!F42</f>
        <v>5798.7000000000007</v>
      </c>
      <c r="E683" s="26">
        <f>'Функц. 2024-2026'!H42</f>
        <v>5798.7000000000007</v>
      </c>
      <c r="F683" s="26">
        <f>'Функц. 2024-2026'!J42</f>
        <v>5797.8</v>
      </c>
      <c r="G683" s="559">
        <f t="shared" si="198"/>
        <v>0.99984479279838578</v>
      </c>
      <c r="H683" s="68"/>
    </row>
    <row r="684" spans="1:8" x14ac:dyDescent="0.25">
      <c r="A684" s="218" t="s">
        <v>280</v>
      </c>
      <c r="B684" s="226" t="s">
        <v>281</v>
      </c>
      <c r="C684" s="530"/>
      <c r="D684" s="26">
        <f>D685+D688+D691+D694</f>
        <v>11400.2</v>
      </c>
      <c r="E684" s="26">
        <f>E685+E688+E691+E694</f>
        <v>11400.2</v>
      </c>
      <c r="F684" s="26">
        <f>F685+F688+F691+F694</f>
        <v>11382.699999999999</v>
      </c>
      <c r="G684" s="559">
        <f t="shared" si="198"/>
        <v>0.99846493921159263</v>
      </c>
      <c r="H684" s="68"/>
    </row>
    <row r="685" spans="1:8" x14ac:dyDescent="0.25">
      <c r="A685" s="216" t="s">
        <v>283</v>
      </c>
      <c r="B685" s="226" t="s">
        <v>284</v>
      </c>
      <c r="C685" s="530"/>
      <c r="D685" s="26">
        <f t="shared" ref="D685:F686" si="207">D686</f>
        <v>1251.9000000000001</v>
      </c>
      <c r="E685" s="26">
        <f t="shared" si="207"/>
        <v>1251.9000000000001</v>
      </c>
      <c r="F685" s="26">
        <f t="shared" si="207"/>
        <v>1250.3</v>
      </c>
      <c r="G685" s="559">
        <f t="shared" si="198"/>
        <v>0.99872194264717618</v>
      </c>
      <c r="H685" s="68"/>
    </row>
    <row r="686" spans="1:8" x14ac:dyDescent="0.25">
      <c r="A686" s="216" t="s">
        <v>121</v>
      </c>
      <c r="B686" s="226" t="s">
        <v>284</v>
      </c>
      <c r="C686" s="530">
        <v>200</v>
      </c>
      <c r="D686" s="26">
        <f t="shared" si="207"/>
        <v>1251.9000000000001</v>
      </c>
      <c r="E686" s="26">
        <f t="shared" si="207"/>
        <v>1251.9000000000001</v>
      </c>
      <c r="F686" s="26">
        <f t="shared" si="207"/>
        <v>1250.3</v>
      </c>
      <c r="G686" s="559">
        <f t="shared" si="198"/>
        <v>0.99872194264717618</v>
      </c>
      <c r="H686" s="68"/>
    </row>
    <row r="687" spans="1:8" x14ac:dyDescent="0.25">
      <c r="A687" s="216" t="s">
        <v>52</v>
      </c>
      <c r="B687" s="226" t="s">
        <v>284</v>
      </c>
      <c r="C687" s="530">
        <v>240</v>
      </c>
      <c r="D687" s="26">
        <f>'Функц. 2024-2026'!F107</f>
        <v>1251.9000000000001</v>
      </c>
      <c r="E687" s="26">
        <f>'Функц. 2024-2026'!H107</f>
        <v>1251.9000000000001</v>
      </c>
      <c r="F687" s="26">
        <f>'Функц. 2024-2026'!J107</f>
        <v>1250.3</v>
      </c>
      <c r="G687" s="559">
        <f t="shared" si="198"/>
        <v>0.99872194264717618</v>
      </c>
      <c r="H687" s="68"/>
    </row>
    <row r="688" spans="1:8" ht="31.5" x14ac:dyDescent="0.25">
      <c r="A688" s="216" t="s">
        <v>589</v>
      </c>
      <c r="B688" s="226" t="s">
        <v>286</v>
      </c>
      <c r="C688" s="530"/>
      <c r="D688" s="26">
        <f t="shared" ref="D688:F689" si="208">D689</f>
        <v>2758.9000000000005</v>
      </c>
      <c r="E688" s="26">
        <f t="shared" si="208"/>
        <v>2758.9000000000005</v>
      </c>
      <c r="F688" s="26">
        <f t="shared" si="208"/>
        <v>2758.9</v>
      </c>
      <c r="G688" s="559">
        <f t="shared" si="198"/>
        <v>0.99999999999999989</v>
      </c>
      <c r="H688" s="68"/>
    </row>
    <row r="689" spans="1:31" ht="47.25" x14ac:dyDescent="0.25">
      <c r="A689" s="216" t="s">
        <v>41</v>
      </c>
      <c r="B689" s="226" t="s">
        <v>286</v>
      </c>
      <c r="C689" s="530">
        <v>100</v>
      </c>
      <c r="D689" s="26">
        <f t="shared" si="208"/>
        <v>2758.9000000000005</v>
      </c>
      <c r="E689" s="26">
        <f t="shared" si="208"/>
        <v>2758.9000000000005</v>
      </c>
      <c r="F689" s="26">
        <f t="shared" si="208"/>
        <v>2758.9</v>
      </c>
      <c r="G689" s="559">
        <f t="shared" si="198"/>
        <v>0.99999999999999989</v>
      </c>
      <c r="H689" s="68"/>
    </row>
    <row r="690" spans="1:31" x14ac:dyDescent="0.25">
      <c r="A690" s="216" t="s">
        <v>97</v>
      </c>
      <c r="B690" s="226" t="s">
        <v>286</v>
      </c>
      <c r="C690" s="530">
        <v>120</v>
      </c>
      <c r="D690" s="26">
        <f>'Функц. 2024-2026'!F110</f>
        <v>2758.9000000000005</v>
      </c>
      <c r="E690" s="26">
        <f>'Функц. 2024-2026'!H110</f>
        <v>2758.9000000000005</v>
      </c>
      <c r="F690" s="26">
        <f>'Функц. 2024-2026'!J110</f>
        <v>2758.9</v>
      </c>
      <c r="G690" s="559">
        <f t="shared" si="198"/>
        <v>0.99999999999999989</v>
      </c>
      <c r="H690" s="68"/>
    </row>
    <row r="691" spans="1:31" ht="31.5" x14ac:dyDescent="0.25">
      <c r="A691" s="216" t="s">
        <v>288</v>
      </c>
      <c r="B691" s="226" t="s">
        <v>287</v>
      </c>
      <c r="C691" s="530"/>
      <c r="D691" s="26">
        <f t="shared" ref="D691:F692" si="209">D692</f>
        <v>4587.3</v>
      </c>
      <c r="E691" s="26">
        <f t="shared" si="209"/>
        <v>4587.3</v>
      </c>
      <c r="F691" s="26">
        <f t="shared" si="209"/>
        <v>4571.3999999999996</v>
      </c>
      <c r="G691" s="559">
        <f t="shared" si="198"/>
        <v>0.99653390883526249</v>
      </c>
      <c r="H691" s="68"/>
    </row>
    <row r="692" spans="1:31" ht="47.25" x14ac:dyDescent="0.25">
      <c r="A692" s="216" t="s">
        <v>41</v>
      </c>
      <c r="B692" s="226" t="s">
        <v>287</v>
      </c>
      <c r="C692" s="530">
        <v>100</v>
      </c>
      <c r="D692" s="26">
        <f t="shared" si="209"/>
        <v>4587.3</v>
      </c>
      <c r="E692" s="26">
        <f t="shared" si="209"/>
        <v>4587.3</v>
      </c>
      <c r="F692" s="26">
        <f t="shared" si="209"/>
        <v>4571.3999999999996</v>
      </c>
      <c r="G692" s="559">
        <f t="shared" si="198"/>
        <v>0.99653390883526249</v>
      </c>
      <c r="H692" s="68"/>
    </row>
    <row r="693" spans="1:31" x14ac:dyDescent="0.25">
      <c r="A693" s="216" t="s">
        <v>97</v>
      </c>
      <c r="B693" s="226" t="s">
        <v>287</v>
      </c>
      <c r="C693" s="530">
        <v>120</v>
      </c>
      <c r="D693" s="26">
        <f>'Функц. 2024-2026'!F113</f>
        <v>4587.3</v>
      </c>
      <c r="E693" s="26">
        <f>'Функц. 2024-2026'!H113</f>
        <v>4587.3</v>
      </c>
      <c r="F693" s="26">
        <f>'Функц. 2024-2026'!J113</f>
        <v>4571.3999999999996</v>
      </c>
      <c r="G693" s="559">
        <f t="shared" si="198"/>
        <v>0.99653390883526249</v>
      </c>
      <c r="H693" s="68"/>
    </row>
    <row r="694" spans="1:31" ht="31.5" x14ac:dyDescent="0.25">
      <c r="A694" s="197" t="s">
        <v>429</v>
      </c>
      <c r="B694" s="226" t="s">
        <v>430</v>
      </c>
      <c r="C694" s="530"/>
      <c r="D694" s="26">
        <f t="shared" ref="D694:F695" si="210">D695</f>
        <v>2802.1</v>
      </c>
      <c r="E694" s="26">
        <f t="shared" si="210"/>
        <v>2802.1</v>
      </c>
      <c r="F694" s="26">
        <f t="shared" si="210"/>
        <v>2802.1</v>
      </c>
      <c r="G694" s="559">
        <f t="shared" si="198"/>
        <v>1</v>
      </c>
      <c r="H694" s="68"/>
    </row>
    <row r="695" spans="1:31" ht="47.25" x14ac:dyDescent="0.25">
      <c r="A695" s="268" t="s">
        <v>41</v>
      </c>
      <c r="B695" s="226" t="s">
        <v>430</v>
      </c>
      <c r="C695" s="530">
        <v>100</v>
      </c>
      <c r="D695" s="26">
        <f t="shared" si="210"/>
        <v>2802.1</v>
      </c>
      <c r="E695" s="26">
        <f t="shared" si="210"/>
        <v>2802.1</v>
      </c>
      <c r="F695" s="26">
        <f t="shared" si="210"/>
        <v>2802.1</v>
      </c>
      <c r="G695" s="559">
        <f t="shared" si="198"/>
        <v>1</v>
      </c>
      <c r="H695" s="68"/>
    </row>
    <row r="696" spans="1:31" x14ac:dyDescent="0.25">
      <c r="A696" s="268" t="s">
        <v>97</v>
      </c>
      <c r="B696" s="226" t="s">
        <v>430</v>
      </c>
      <c r="C696" s="530">
        <v>120</v>
      </c>
      <c r="D696" s="26">
        <f>'Функц. 2024-2026'!F116</f>
        <v>2802.1</v>
      </c>
      <c r="E696" s="26">
        <f>'Функц. 2024-2026'!H116</f>
        <v>2802.1</v>
      </c>
      <c r="F696" s="26">
        <f>'Функц. 2024-2026'!J116</f>
        <v>2802.1</v>
      </c>
      <c r="G696" s="559">
        <f t="shared" si="198"/>
        <v>1</v>
      </c>
      <c r="H696" s="68"/>
    </row>
    <row r="697" spans="1:31" x14ac:dyDescent="0.25">
      <c r="A697" s="293" t="s">
        <v>344</v>
      </c>
      <c r="B697" s="286" t="s">
        <v>138</v>
      </c>
      <c r="C697" s="542"/>
      <c r="D697" s="454">
        <f>D701+D698+D707+D704+D726</f>
        <v>101508.90000000004</v>
      </c>
      <c r="E697" s="454">
        <f t="shared" ref="E697:AE697" si="211">E701+E698+E707+E704+E726</f>
        <v>202380.90000000002</v>
      </c>
      <c r="F697" s="454">
        <f t="shared" si="211"/>
        <v>70508.800000000017</v>
      </c>
      <c r="G697" s="558">
        <f t="shared" si="198"/>
        <v>0.34839651370262714</v>
      </c>
      <c r="H697" s="454">
        <f t="shared" si="211"/>
        <v>0</v>
      </c>
      <c r="I697" s="454">
        <f t="shared" si="211"/>
        <v>0</v>
      </c>
      <c r="J697" s="454">
        <f t="shared" si="211"/>
        <v>0</v>
      </c>
      <c r="K697" s="454">
        <f t="shared" si="211"/>
        <v>0</v>
      </c>
      <c r="L697" s="454">
        <f t="shared" si="211"/>
        <v>0</v>
      </c>
      <c r="M697" s="454">
        <f t="shared" si="211"/>
        <v>0</v>
      </c>
      <c r="N697" s="454">
        <f t="shared" si="211"/>
        <v>0</v>
      </c>
      <c r="O697" s="454">
        <f t="shared" si="211"/>
        <v>0</v>
      </c>
      <c r="P697" s="454">
        <f t="shared" si="211"/>
        <v>0</v>
      </c>
      <c r="Q697" s="454">
        <f t="shared" si="211"/>
        <v>0</v>
      </c>
      <c r="R697" s="454">
        <f t="shared" si="211"/>
        <v>0</v>
      </c>
      <c r="S697" s="454">
        <f t="shared" si="211"/>
        <v>0</v>
      </c>
      <c r="T697" s="454">
        <f t="shared" si="211"/>
        <v>0</v>
      </c>
      <c r="U697" s="454">
        <f t="shared" si="211"/>
        <v>0</v>
      </c>
      <c r="V697" s="454">
        <f t="shared" si="211"/>
        <v>0</v>
      </c>
      <c r="W697" s="454">
        <f t="shared" si="211"/>
        <v>0</v>
      </c>
      <c r="X697" s="454">
        <f t="shared" si="211"/>
        <v>0</v>
      </c>
      <c r="Y697" s="454">
        <f t="shared" si="211"/>
        <v>0</v>
      </c>
      <c r="Z697" s="454">
        <f t="shared" si="211"/>
        <v>0</v>
      </c>
      <c r="AA697" s="454">
        <f t="shared" si="211"/>
        <v>0</v>
      </c>
      <c r="AB697" s="454">
        <f t="shared" si="211"/>
        <v>0</v>
      </c>
      <c r="AC697" s="454">
        <f t="shared" si="211"/>
        <v>0</v>
      </c>
      <c r="AD697" s="454">
        <f t="shared" si="211"/>
        <v>0</v>
      </c>
      <c r="AE697" s="454">
        <f t="shared" si="211"/>
        <v>0</v>
      </c>
    </row>
    <row r="698" spans="1:31" ht="31.5" x14ac:dyDescent="0.25">
      <c r="A698" s="218" t="s">
        <v>337</v>
      </c>
      <c r="B698" s="226" t="s">
        <v>338</v>
      </c>
      <c r="C698" s="530"/>
      <c r="D698" s="26">
        <f t="shared" ref="D698:F699" si="212">D699</f>
        <v>1000</v>
      </c>
      <c r="E698" s="26">
        <f t="shared" si="212"/>
        <v>1000</v>
      </c>
      <c r="F698" s="26">
        <f t="shared" si="212"/>
        <v>0</v>
      </c>
      <c r="G698" s="559">
        <f t="shared" si="198"/>
        <v>0</v>
      </c>
      <c r="H698" s="68"/>
    </row>
    <row r="699" spans="1:31" x14ac:dyDescent="0.25">
      <c r="A699" s="216" t="s">
        <v>42</v>
      </c>
      <c r="B699" s="226" t="s">
        <v>338</v>
      </c>
      <c r="C699" s="530">
        <v>800</v>
      </c>
      <c r="D699" s="26">
        <f t="shared" si="212"/>
        <v>1000</v>
      </c>
      <c r="E699" s="26">
        <f t="shared" si="212"/>
        <v>1000</v>
      </c>
      <c r="F699" s="26">
        <f t="shared" si="212"/>
        <v>0</v>
      </c>
      <c r="G699" s="559">
        <f t="shared" si="198"/>
        <v>0</v>
      </c>
      <c r="H699" s="68"/>
    </row>
    <row r="700" spans="1:31" x14ac:dyDescent="0.25">
      <c r="A700" s="216" t="s">
        <v>137</v>
      </c>
      <c r="B700" s="226" t="s">
        <v>338</v>
      </c>
      <c r="C700" s="530">
        <v>870</v>
      </c>
      <c r="D700" s="26">
        <f>'Функц. 2024-2026'!F121</f>
        <v>1000</v>
      </c>
      <c r="E700" s="26">
        <f>'Функц. 2024-2026'!H121</f>
        <v>1000</v>
      </c>
      <c r="F700" s="26">
        <f>'Функц. 2024-2026'!J121</f>
        <v>0</v>
      </c>
      <c r="G700" s="559">
        <f t="shared" si="198"/>
        <v>0</v>
      </c>
      <c r="H700" s="68"/>
    </row>
    <row r="701" spans="1:31" x14ac:dyDescent="0.25">
      <c r="A701" s="218" t="s">
        <v>228</v>
      </c>
      <c r="B701" s="226" t="s">
        <v>229</v>
      </c>
      <c r="C701" s="549"/>
      <c r="D701" s="26">
        <f t="shared" ref="D701:F702" si="213">D702</f>
        <v>3528.3999999999996</v>
      </c>
      <c r="E701" s="26">
        <f t="shared" si="213"/>
        <v>3528.3999999999996</v>
      </c>
      <c r="F701" s="26">
        <f t="shared" si="213"/>
        <v>3528.3</v>
      </c>
      <c r="G701" s="559">
        <f t="shared" si="198"/>
        <v>0.99997165854211556</v>
      </c>
      <c r="H701" s="68"/>
    </row>
    <row r="702" spans="1:31" x14ac:dyDescent="0.25">
      <c r="A702" s="216" t="s">
        <v>42</v>
      </c>
      <c r="B702" s="226" t="s">
        <v>229</v>
      </c>
      <c r="C702" s="549">
        <v>800</v>
      </c>
      <c r="D702" s="26">
        <f t="shared" si="213"/>
        <v>3528.3999999999996</v>
      </c>
      <c r="E702" s="26">
        <f t="shared" si="213"/>
        <v>3528.3999999999996</v>
      </c>
      <c r="F702" s="26">
        <f t="shared" si="213"/>
        <v>3528.3</v>
      </c>
      <c r="G702" s="559">
        <f t="shared" si="198"/>
        <v>0.99997165854211556</v>
      </c>
      <c r="H702" s="68"/>
    </row>
    <row r="703" spans="1:31" x14ac:dyDescent="0.25">
      <c r="A703" s="216" t="s">
        <v>133</v>
      </c>
      <c r="B703" s="226" t="s">
        <v>229</v>
      </c>
      <c r="C703" s="549">
        <v>830</v>
      </c>
      <c r="D703" s="26">
        <f>'Функц. 2024-2026'!F198</f>
        <v>3528.3999999999996</v>
      </c>
      <c r="E703" s="26">
        <f>'Функц. 2024-2026'!H198</f>
        <v>3528.3999999999996</v>
      </c>
      <c r="F703" s="26">
        <f>'Функц. 2024-2026'!J198</f>
        <v>3528.3</v>
      </c>
      <c r="G703" s="559">
        <f t="shared" si="198"/>
        <v>0.99997165854211556</v>
      </c>
      <c r="H703" s="68"/>
    </row>
    <row r="704" spans="1:31" x14ac:dyDescent="0.25">
      <c r="A704" s="201" t="s">
        <v>666</v>
      </c>
      <c r="B704" s="226" t="s">
        <v>665</v>
      </c>
      <c r="C704" s="543"/>
      <c r="D704" s="26">
        <f t="shared" ref="D704:F705" si="214">D705</f>
        <v>1168</v>
      </c>
      <c r="E704" s="26">
        <f t="shared" si="214"/>
        <v>1168</v>
      </c>
      <c r="F704" s="26">
        <f t="shared" si="214"/>
        <v>1168</v>
      </c>
      <c r="G704" s="559">
        <f t="shared" si="198"/>
        <v>1</v>
      </c>
      <c r="H704" s="68"/>
    </row>
    <row r="705" spans="1:31" x14ac:dyDescent="0.25">
      <c r="A705" s="216" t="s">
        <v>98</v>
      </c>
      <c r="B705" s="226" t="s">
        <v>665</v>
      </c>
      <c r="C705" s="530">
        <v>300</v>
      </c>
      <c r="D705" s="129">
        <f t="shared" si="214"/>
        <v>1168</v>
      </c>
      <c r="E705" s="129">
        <f t="shared" si="214"/>
        <v>1168</v>
      </c>
      <c r="F705" s="129">
        <f t="shared" si="214"/>
        <v>1168</v>
      </c>
      <c r="G705" s="559">
        <f t="shared" si="198"/>
        <v>1</v>
      </c>
      <c r="H705" s="68"/>
    </row>
    <row r="706" spans="1:31" x14ac:dyDescent="0.25">
      <c r="A706" s="216" t="s">
        <v>40</v>
      </c>
      <c r="B706" s="226" t="s">
        <v>665</v>
      </c>
      <c r="C706" s="530">
        <v>320</v>
      </c>
      <c r="D706" s="26">
        <f>'Функц. 2024-2026'!F823</f>
        <v>1168</v>
      </c>
      <c r="E706" s="26">
        <f>'Функц. 2024-2026'!H823</f>
        <v>1168</v>
      </c>
      <c r="F706" s="26">
        <f>'Функц. 2024-2026'!J823</f>
        <v>1168</v>
      </c>
      <c r="G706" s="559">
        <f t="shared" si="198"/>
        <v>1</v>
      </c>
      <c r="H706" s="68"/>
    </row>
    <row r="707" spans="1:31" x14ac:dyDescent="0.25">
      <c r="A707" s="197" t="s">
        <v>453</v>
      </c>
      <c r="B707" s="287" t="s">
        <v>454</v>
      </c>
      <c r="C707" s="549"/>
      <c r="D707" s="26">
        <f>D717+D708+D711+D723+D714</f>
        <v>91336.900000000038</v>
      </c>
      <c r="E707" s="26">
        <f>E717+E708+E711+E723+E714+E720</f>
        <v>192208.90000000002</v>
      </c>
      <c r="F707" s="26">
        <f>F717+F708+F711+F723+F714+F720</f>
        <v>61336.9</v>
      </c>
      <c r="G707" s="559">
        <f t="shared" si="198"/>
        <v>0.31911581617708645</v>
      </c>
      <c r="H707" s="68"/>
    </row>
    <row r="708" spans="1:31" x14ac:dyDescent="0.25">
      <c r="A708" s="197" t="s">
        <v>716</v>
      </c>
      <c r="B708" s="287" t="s">
        <v>717</v>
      </c>
      <c r="C708" s="460"/>
      <c r="D708" s="26">
        <f t="shared" ref="D708:F709" si="215">D709</f>
        <v>80</v>
      </c>
      <c r="E708" s="26">
        <f t="shared" si="215"/>
        <v>80</v>
      </c>
      <c r="F708" s="26">
        <f t="shared" si="215"/>
        <v>80</v>
      </c>
      <c r="G708" s="559">
        <f t="shared" si="198"/>
        <v>1</v>
      </c>
      <c r="H708" s="68"/>
    </row>
    <row r="709" spans="1:31" x14ac:dyDescent="0.25">
      <c r="A709" s="197" t="s">
        <v>42</v>
      </c>
      <c r="B709" s="287" t="s">
        <v>717</v>
      </c>
      <c r="C709" s="460">
        <v>800</v>
      </c>
      <c r="D709" s="26">
        <f t="shared" si="215"/>
        <v>80</v>
      </c>
      <c r="E709" s="26">
        <f t="shared" si="215"/>
        <v>80</v>
      </c>
      <c r="F709" s="26">
        <f t="shared" si="215"/>
        <v>80</v>
      </c>
      <c r="G709" s="559">
        <f t="shared" si="198"/>
        <v>1</v>
      </c>
      <c r="H709" s="68"/>
    </row>
    <row r="710" spans="1:31" x14ac:dyDescent="0.25">
      <c r="A710" s="197" t="s">
        <v>58</v>
      </c>
      <c r="B710" s="287" t="s">
        <v>717</v>
      </c>
      <c r="C710" s="460">
        <v>850</v>
      </c>
      <c r="D710" s="26">
        <f>'Функц. 2024-2026'!F202</f>
        <v>80</v>
      </c>
      <c r="E710" s="26">
        <f>'Функц. 2024-2026'!H202</f>
        <v>80</v>
      </c>
      <c r="F710" s="26">
        <f>'Функц. 2024-2026'!J202</f>
        <v>80</v>
      </c>
      <c r="G710" s="559">
        <f t="shared" si="198"/>
        <v>1</v>
      </c>
      <c r="H710" s="68"/>
    </row>
    <row r="711" spans="1:31" ht="47.25" x14ac:dyDescent="0.25">
      <c r="A711" s="197" t="s">
        <v>751</v>
      </c>
      <c r="B711" s="287" t="s">
        <v>461</v>
      </c>
      <c r="C711" s="460"/>
      <c r="D711" s="26">
        <f>D712</f>
        <v>109.5</v>
      </c>
      <c r="E711" s="26">
        <f t="shared" ref="E711:F712" si="216">E712</f>
        <v>109.5</v>
      </c>
      <c r="F711" s="26">
        <f t="shared" si="216"/>
        <v>109.5</v>
      </c>
      <c r="G711" s="559">
        <f t="shared" si="198"/>
        <v>1</v>
      </c>
      <c r="H711" s="68"/>
    </row>
    <row r="712" spans="1:31" x14ac:dyDescent="0.25">
      <c r="A712" s="197" t="s">
        <v>42</v>
      </c>
      <c r="B712" s="287" t="s">
        <v>461</v>
      </c>
      <c r="C712" s="460">
        <v>800</v>
      </c>
      <c r="D712" s="26">
        <f>D713</f>
        <v>109.5</v>
      </c>
      <c r="E712" s="26">
        <f t="shared" si="216"/>
        <v>109.5</v>
      </c>
      <c r="F712" s="26">
        <f t="shared" si="216"/>
        <v>109.5</v>
      </c>
      <c r="G712" s="559">
        <f t="shared" si="198"/>
        <v>1</v>
      </c>
      <c r="H712" s="68"/>
    </row>
    <row r="713" spans="1:31" x14ac:dyDescent="0.25">
      <c r="A713" s="197" t="s">
        <v>58</v>
      </c>
      <c r="B713" s="287" t="s">
        <v>461</v>
      </c>
      <c r="C713" s="460">
        <v>850</v>
      </c>
      <c r="D713" s="26">
        <f>'Функц. 2024-2026'!F205</f>
        <v>109.5</v>
      </c>
      <c r="E713" s="26">
        <f>'Функц. 2024-2026'!H205</f>
        <v>109.5</v>
      </c>
      <c r="F713" s="26">
        <f>'Функц. 2024-2026'!J205</f>
        <v>109.5</v>
      </c>
      <c r="G713" s="559">
        <f t="shared" si="198"/>
        <v>1</v>
      </c>
      <c r="H713" s="68"/>
    </row>
    <row r="714" spans="1:31" ht="31.5" x14ac:dyDescent="0.25">
      <c r="A714" s="197" t="s">
        <v>755</v>
      </c>
      <c r="B714" s="287" t="s">
        <v>754</v>
      </c>
      <c r="C714" s="460"/>
      <c r="D714" s="26">
        <f>D715</f>
        <v>60500</v>
      </c>
      <c r="E714" s="26">
        <f t="shared" ref="E714:F715" si="217">E715</f>
        <v>60500</v>
      </c>
      <c r="F714" s="26">
        <f t="shared" si="217"/>
        <v>60500</v>
      </c>
      <c r="G714" s="559">
        <f t="shared" si="198"/>
        <v>1</v>
      </c>
      <c r="H714" s="68"/>
    </row>
    <row r="715" spans="1:31" x14ac:dyDescent="0.25">
      <c r="A715" s="197" t="s">
        <v>42</v>
      </c>
      <c r="B715" s="287" t="s">
        <v>754</v>
      </c>
      <c r="C715" s="460"/>
      <c r="D715" s="26">
        <f>D716</f>
        <v>60500</v>
      </c>
      <c r="E715" s="26">
        <f t="shared" si="217"/>
        <v>60500</v>
      </c>
      <c r="F715" s="26">
        <f t="shared" si="217"/>
        <v>60500</v>
      </c>
      <c r="G715" s="559">
        <f t="shared" ref="G715:G729" si="218">F715/E715</f>
        <v>1</v>
      </c>
      <c r="H715" s="68"/>
    </row>
    <row r="716" spans="1:31" ht="31.5" x14ac:dyDescent="0.25">
      <c r="A716" s="197" t="s">
        <v>122</v>
      </c>
      <c r="B716" s="287" t="s">
        <v>754</v>
      </c>
      <c r="C716" s="460"/>
      <c r="D716" s="26">
        <f>'Функц. 2024-2026'!F435</f>
        <v>60500</v>
      </c>
      <c r="E716" s="26">
        <f>'Функц. 2024-2026'!H435</f>
        <v>60500</v>
      </c>
      <c r="F716" s="26">
        <f>'Функц. 2024-2026'!J435</f>
        <v>60500</v>
      </c>
      <c r="G716" s="559">
        <f t="shared" si="218"/>
        <v>1</v>
      </c>
      <c r="H716" s="68"/>
    </row>
    <row r="717" spans="1:31" s="156" customFormat="1" ht="31.5" x14ac:dyDescent="0.25">
      <c r="A717" s="197" t="s">
        <v>462</v>
      </c>
      <c r="B717" s="287" t="s">
        <v>463</v>
      </c>
      <c r="C717" s="549"/>
      <c r="D717" s="26">
        <f t="shared" ref="D717:F718" si="219">D718</f>
        <v>30000.000000000033</v>
      </c>
      <c r="E717" s="26">
        <f t="shared" si="219"/>
        <v>30872.000000000033</v>
      </c>
      <c r="F717" s="26">
        <f t="shared" si="219"/>
        <v>0</v>
      </c>
      <c r="G717" s="559">
        <f t="shared" si="218"/>
        <v>0</v>
      </c>
      <c r="H717" s="68"/>
      <c r="I717" s="106"/>
      <c r="J717" s="106"/>
      <c r="K717" s="106"/>
      <c r="L717" s="106"/>
      <c r="M717" s="106"/>
      <c r="N717" s="106"/>
      <c r="O717" s="106"/>
      <c r="P717" s="106"/>
      <c r="Q717" s="106"/>
      <c r="R717" s="106"/>
      <c r="S717" s="106"/>
      <c r="T717" s="106"/>
      <c r="U717" s="106"/>
      <c r="V717" s="106"/>
      <c r="W717" s="106"/>
      <c r="X717" s="106"/>
      <c r="Y717" s="106"/>
      <c r="Z717" s="106"/>
      <c r="AA717" s="106"/>
      <c r="AB717" s="106"/>
      <c r="AC717" s="106"/>
      <c r="AD717" s="106"/>
      <c r="AE717" s="106"/>
    </row>
    <row r="718" spans="1:31" s="156" customFormat="1" x14ac:dyDescent="0.25">
      <c r="A718" s="197" t="s">
        <v>42</v>
      </c>
      <c r="B718" s="287" t="s">
        <v>463</v>
      </c>
      <c r="C718" s="549">
        <v>800</v>
      </c>
      <c r="D718" s="308">
        <f t="shared" si="219"/>
        <v>30000.000000000033</v>
      </c>
      <c r="E718" s="309">
        <f t="shared" si="219"/>
        <v>30872.000000000033</v>
      </c>
      <c r="F718" s="309">
        <f t="shared" si="219"/>
        <v>0</v>
      </c>
      <c r="G718" s="559">
        <f t="shared" si="218"/>
        <v>0</v>
      </c>
      <c r="H718" s="68"/>
      <c r="I718" s="106"/>
      <c r="J718" s="106"/>
      <c r="K718" s="106"/>
      <c r="L718" s="106"/>
      <c r="M718" s="106"/>
      <c r="N718" s="106"/>
      <c r="O718" s="106"/>
      <c r="P718" s="106"/>
      <c r="Q718" s="106"/>
      <c r="R718" s="106"/>
      <c r="S718" s="106"/>
      <c r="T718" s="106"/>
      <c r="U718" s="106"/>
      <c r="V718" s="106"/>
      <c r="W718" s="106"/>
      <c r="X718" s="106"/>
      <c r="Y718" s="106"/>
      <c r="Z718" s="106"/>
      <c r="AA718" s="106"/>
      <c r="AB718" s="106"/>
      <c r="AC718" s="106"/>
      <c r="AD718" s="106"/>
      <c r="AE718" s="106"/>
    </row>
    <row r="719" spans="1:31" s="156" customFormat="1" x14ac:dyDescent="0.25">
      <c r="A719" s="197" t="s">
        <v>137</v>
      </c>
      <c r="B719" s="287" t="s">
        <v>463</v>
      </c>
      <c r="C719" s="549">
        <v>870</v>
      </c>
      <c r="D719" s="213">
        <f>'Функц. 2024-2026'!F208</f>
        <v>30000.000000000033</v>
      </c>
      <c r="E719" s="213">
        <f>'Функц. 2024-2026'!H208</f>
        <v>30872.000000000033</v>
      </c>
      <c r="F719" s="213">
        <f>'Функц. 2024-2026'!J208</f>
        <v>0</v>
      </c>
      <c r="G719" s="559">
        <f t="shared" si="218"/>
        <v>0</v>
      </c>
      <c r="H719" s="68"/>
      <c r="I719" s="106"/>
      <c r="J719" s="106"/>
      <c r="K719" s="106"/>
      <c r="L719" s="106"/>
      <c r="M719" s="106"/>
      <c r="N719" s="106"/>
      <c r="O719" s="106"/>
      <c r="P719" s="106"/>
      <c r="Q719" s="106"/>
      <c r="R719" s="106"/>
      <c r="S719" s="106"/>
      <c r="T719" s="106"/>
      <c r="U719" s="106"/>
      <c r="V719" s="106"/>
      <c r="W719" s="106"/>
      <c r="X719" s="106"/>
      <c r="Y719" s="106"/>
      <c r="Z719" s="106"/>
      <c r="AA719" s="106"/>
      <c r="AB719" s="106"/>
      <c r="AC719" s="106"/>
      <c r="AD719" s="106"/>
      <c r="AE719" s="106"/>
    </row>
    <row r="720" spans="1:31" s="156" customFormat="1" x14ac:dyDescent="0.25">
      <c r="A720" s="347" t="s">
        <v>829</v>
      </c>
      <c r="B720" s="377" t="str">
        <f>B721</f>
        <v>99 0 00 04007</v>
      </c>
      <c r="C720" s="608"/>
      <c r="D720" s="26">
        <f>D721</f>
        <v>0</v>
      </c>
      <c r="E720" s="26">
        <f t="shared" ref="E720:F720" si="220">E721</f>
        <v>100000</v>
      </c>
      <c r="F720" s="26">
        <f t="shared" si="220"/>
        <v>0</v>
      </c>
      <c r="G720" s="559">
        <f t="shared" si="218"/>
        <v>0</v>
      </c>
      <c r="H720" s="526"/>
      <c r="I720" s="490"/>
      <c r="J720" s="490"/>
      <c r="K720" s="490"/>
      <c r="L720" s="490"/>
      <c r="M720" s="490"/>
      <c r="N720" s="490"/>
      <c r="O720" s="490"/>
      <c r="P720" s="490"/>
      <c r="Q720" s="490"/>
      <c r="R720" s="490"/>
      <c r="S720" s="490"/>
      <c r="T720" s="490"/>
      <c r="U720" s="490"/>
      <c r="V720" s="490"/>
      <c r="W720" s="490"/>
      <c r="X720" s="490"/>
      <c r="Y720" s="490"/>
      <c r="Z720" s="490"/>
      <c r="AA720" s="490"/>
      <c r="AB720" s="490"/>
      <c r="AC720" s="490"/>
      <c r="AD720" s="490"/>
      <c r="AE720" s="490"/>
    </row>
    <row r="721" spans="1:31" s="156" customFormat="1" x14ac:dyDescent="0.25">
      <c r="A721" s="347" t="s">
        <v>42</v>
      </c>
      <c r="B721" s="377" t="str">
        <f>B722</f>
        <v>99 0 00 04007</v>
      </c>
      <c r="C721" s="608">
        <v>800</v>
      </c>
      <c r="D721" s="26">
        <f>D722</f>
        <v>0</v>
      </c>
      <c r="E721" s="26">
        <f t="shared" ref="E721:F721" si="221">E722</f>
        <v>100000</v>
      </c>
      <c r="F721" s="26">
        <f t="shared" si="221"/>
        <v>0</v>
      </c>
      <c r="G721" s="559">
        <f t="shared" si="218"/>
        <v>0</v>
      </c>
      <c r="H721" s="526"/>
      <c r="I721" s="490"/>
      <c r="J721" s="490"/>
      <c r="K721" s="490"/>
      <c r="L721" s="490"/>
      <c r="M721" s="490"/>
      <c r="N721" s="490"/>
      <c r="O721" s="490"/>
      <c r="P721" s="490"/>
      <c r="Q721" s="490"/>
      <c r="R721" s="490"/>
      <c r="S721" s="490"/>
      <c r="T721" s="490"/>
      <c r="U721" s="490"/>
      <c r="V721" s="490"/>
      <c r="W721" s="490"/>
      <c r="X721" s="490"/>
      <c r="Y721" s="490"/>
      <c r="Z721" s="490"/>
      <c r="AA721" s="490"/>
      <c r="AB721" s="490"/>
      <c r="AC721" s="490"/>
      <c r="AD721" s="490"/>
      <c r="AE721" s="490"/>
    </row>
    <row r="722" spans="1:31" s="156" customFormat="1" x14ac:dyDescent="0.25">
      <c r="A722" s="347" t="s">
        <v>137</v>
      </c>
      <c r="B722" s="377" t="s">
        <v>830</v>
      </c>
      <c r="C722" s="608">
        <v>870</v>
      </c>
      <c r="D722" s="26">
        <f>'Функц. 2024-2026'!F211</f>
        <v>0</v>
      </c>
      <c r="E722" s="26">
        <f>'Функц. 2024-2026'!H211</f>
        <v>100000</v>
      </c>
      <c r="F722" s="26">
        <f>'Функц. 2024-2026'!J211</f>
        <v>0</v>
      </c>
      <c r="G722" s="559">
        <f t="shared" si="218"/>
        <v>0</v>
      </c>
      <c r="H722" s="526"/>
      <c r="I722" s="490"/>
      <c r="J722" s="490"/>
      <c r="K722" s="490"/>
      <c r="L722" s="490"/>
      <c r="M722" s="490"/>
      <c r="N722" s="490"/>
      <c r="O722" s="490"/>
      <c r="P722" s="490"/>
      <c r="Q722" s="490"/>
      <c r="R722" s="490"/>
      <c r="S722" s="490"/>
      <c r="T722" s="490"/>
      <c r="U722" s="490"/>
      <c r="V722" s="490"/>
      <c r="W722" s="490"/>
      <c r="X722" s="490"/>
      <c r="Y722" s="490"/>
      <c r="Z722" s="490"/>
      <c r="AA722" s="490"/>
      <c r="AB722" s="490"/>
      <c r="AC722" s="490"/>
      <c r="AD722" s="490"/>
      <c r="AE722" s="490"/>
    </row>
    <row r="723" spans="1:31" s="156" customFormat="1" ht="47.25" x14ac:dyDescent="0.25">
      <c r="A723" s="197" t="s">
        <v>753</v>
      </c>
      <c r="B723" s="219" t="s">
        <v>459</v>
      </c>
      <c r="C723" s="460"/>
      <c r="D723" s="108">
        <f>D724</f>
        <v>647.4</v>
      </c>
      <c r="E723" s="108">
        <f t="shared" ref="E723:F723" si="222">E724</f>
        <v>647.4</v>
      </c>
      <c r="F723" s="108">
        <f t="shared" si="222"/>
        <v>647.4</v>
      </c>
      <c r="G723" s="559">
        <f t="shared" si="218"/>
        <v>1</v>
      </c>
      <c r="H723" s="68"/>
      <c r="I723" s="106"/>
      <c r="J723" s="106"/>
      <c r="K723" s="106"/>
      <c r="L723" s="106"/>
      <c r="M723" s="106"/>
      <c r="N723" s="106"/>
      <c r="O723" s="106"/>
      <c r="P723" s="106"/>
      <c r="Q723" s="106"/>
      <c r="R723" s="106"/>
      <c r="S723" s="106"/>
      <c r="T723" s="106"/>
      <c r="U723" s="106"/>
      <c r="V723" s="106"/>
      <c r="W723" s="106"/>
      <c r="X723" s="106"/>
      <c r="Y723" s="106"/>
      <c r="Z723" s="106"/>
      <c r="AA723" s="106"/>
      <c r="AB723" s="106"/>
      <c r="AC723" s="106"/>
      <c r="AD723" s="106"/>
      <c r="AE723" s="106"/>
    </row>
    <row r="724" spans="1:31" s="156" customFormat="1" x14ac:dyDescent="0.25">
      <c r="A724" s="197" t="s">
        <v>42</v>
      </c>
      <c r="B724" s="219" t="s">
        <v>459</v>
      </c>
      <c r="C724" s="460">
        <v>800</v>
      </c>
      <c r="D724" s="26">
        <f>D725</f>
        <v>647.4</v>
      </c>
      <c r="E724" s="26">
        <f t="shared" ref="E724:F724" si="223">E725</f>
        <v>647.4</v>
      </c>
      <c r="F724" s="26">
        <f t="shared" si="223"/>
        <v>647.4</v>
      </c>
      <c r="G724" s="559">
        <f t="shared" si="218"/>
        <v>1</v>
      </c>
      <c r="H724" s="68"/>
      <c r="I724" s="106"/>
      <c r="J724" s="106"/>
      <c r="K724" s="106"/>
      <c r="L724" s="106"/>
      <c r="M724" s="106"/>
      <c r="N724" s="106"/>
      <c r="O724" s="106"/>
      <c r="P724" s="106"/>
      <c r="Q724" s="106"/>
      <c r="R724" s="106"/>
      <c r="S724" s="106"/>
      <c r="T724" s="106"/>
      <c r="U724" s="106"/>
      <c r="V724" s="106"/>
      <c r="W724" s="106"/>
      <c r="X724" s="106"/>
      <c r="Y724" s="106"/>
      <c r="Z724" s="106"/>
      <c r="AA724" s="106"/>
      <c r="AB724" s="106"/>
      <c r="AC724" s="106"/>
      <c r="AD724" s="106"/>
      <c r="AE724" s="106"/>
    </row>
    <row r="725" spans="1:31" s="156" customFormat="1" x14ac:dyDescent="0.25">
      <c r="A725" s="197" t="s">
        <v>58</v>
      </c>
      <c r="B725" s="219" t="s">
        <v>459</v>
      </c>
      <c r="C725" s="461">
        <v>850</v>
      </c>
      <c r="D725" s="29">
        <f>'Функц. 2024-2026'!F214</f>
        <v>647.4</v>
      </c>
      <c r="E725" s="29">
        <f>'Функц. 2024-2026'!H214</f>
        <v>647.4</v>
      </c>
      <c r="F725" s="29">
        <f>'Функц. 2024-2026'!J214</f>
        <v>647.4</v>
      </c>
      <c r="G725" s="559">
        <f t="shared" si="218"/>
        <v>1</v>
      </c>
      <c r="H725" s="68"/>
      <c r="I725" s="106"/>
      <c r="J725" s="106"/>
      <c r="K725" s="106"/>
      <c r="L725" s="106"/>
      <c r="M725" s="106"/>
      <c r="N725" s="106"/>
      <c r="O725" s="106"/>
      <c r="P725" s="106"/>
      <c r="Q725" s="106"/>
      <c r="R725" s="106"/>
      <c r="S725" s="106"/>
      <c r="T725" s="106"/>
      <c r="U725" s="106"/>
      <c r="V725" s="106"/>
      <c r="W725" s="106"/>
      <c r="X725" s="106"/>
      <c r="Y725" s="106"/>
      <c r="Z725" s="106"/>
      <c r="AA725" s="106"/>
      <c r="AB725" s="106"/>
      <c r="AC725" s="106"/>
      <c r="AD725" s="106"/>
      <c r="AE725" s="106"/>
    </row>
    <row r="726" spans="1:31" s="156" customFormat="1" ht="35.25" customHeight="1" x14ac:dyDescent="0.25">
      <c r="A726" s="347" t="s">
        <v>820</v>
      </c>
      <c r="B726" s="355" t="s">
        <v>819</v>
      </c>
      <c r="C726" s="532"/>
      <c r="D726" s="26">
        <f>D727</f>
        <v>4475.6000000000004</v>
      </c>
      <c r="E726" s="26">
        <f t="shared" ref="E726:F727" si="224">E727</f>
        <v>4475.6000000000004</v>
      </c>
      <c r="F726" s="26">
        <f t="shared" si="224"/>
        <v>4475.6000000000004</v>
      </c>
      <c r="G726" s="559">
        <f t="shared" si="218"/>
        <v>1</v>
      </c>
      <c r="H726" s="68"/>
      <c r="I726" s="106"/>
      <c r="J726" s="106"/>
      <c r="K726" s="106"/>
      <c r="L726" s="106"/>
      <c r="M726" s="106"/>
      <c r="N726" s="106"/>
      <c r="O726" s="106"/>
      <c r="P726" s="106"/>
      <c r="Q726" s="106"/>
      <c r="R726" s="106"/>
      <c r="S726" s="106"/>
      <c r="T726" s="106"/>
      <c r="U726" s="106"/>
      <c r="V726" s="106"/>
      <c r="W726" s="106"/>
      <c r="X726" s="106"/>
      <c r="Y726" s="106"/>
      <c r="Z726" s="106"/>
      <c r="AA726" s="106"/>
      <c r="AB726" s="106"/>
      <c r="AC726" s="106"/>
      <c r="AD726" s="106"/>
      <c r="AE726" s="106"/>
    </row>
    <row r="727" spans="1:31" s="156" customFormat="1" ht="47.25" x14ac:dyDescent="0.25">
      <c r="A727" s="347" t="s">
        <v>41</v>
      </c>
      <c r="B727" s="355" t="s">
        <v>819</v>
      </c>
      <c r="C727" s="532">
        <v>100</v>
      </c>
      <c r="D727" s="26">
        <f>D728</f>
        <v>4475.6000000000004</v>
      </c>
      <c r="E727" s="26">
        <f t="shared" si="224"/>
        <v>4475.6000000000004</v>
      </c>
      <c r="F727" s="26">
        <f t="shared" si="224"/>
        <v>4475.6000000000004</v>
      </c>
      <c r="G727" s="559">
        <f t="shared" si="218"/>
        <v>1</v>
      </c>
      <c r="H727" s="68"/>
      <c r="I727" s="106"/>
      <c r="J727" s="106"/>
      <c r="K727" s="106"/>
      <c r="L727" s="106"/>
      <c r="M727" s="106"/>
      <c r="N727" s="106"/>
      <c r="O727" s="106"/>
      <c r="P727" s="106"/>
      <c r="Q727" s="106"/>
      <c r="R727" s="106"/>
      <c r="S727" s="106"/>
      <c r="T727" s="106"/>
      <c r="U727" s="106"/>
      <c r="V727" s="106"/>
      <c r="W727" s="106"/>
      <c r="X727" s="106"/>
      <c r="Y727" s="106"/>
      <c r="Z727" s="106"/>
      <c r="AA727" s="106"/>
      <c r="AB727" s="106"/>
      <c r="AC727" s="106"/>
      <c r="AD727" s="106"/>
      <c r="AE727" s="106"/>
    </row>
    <row r="728" spans="1:31" s="156" customFormat="1" ht="16.5" thickBot="1" x14ac:dyDescent="0.3">
      <c r="A728" s="347" t="s">
        <v>97</v>
      </c>
      <c r="B728" s="355" t="s">
        <v>819</v>
      </c>
      <c r="C728" s="532">
        <v>120</v>
      </c>
      <c r="D728" s="29">
        <f>'Функц. 2024-2026'!F80</f>
        <v>4475.6000000000004</v>
      </c>
      <c r="E728" s="29">
        <f>'Функц. 2024-2026'!H80</f>
        <v>4475.6000000000004</v>
      </c>
      <c r="F728" s="29">
        <f>'Функц. 2024-2026'!J80</f>
        <v>4475.6000000000004</v>
      </c>
      <c r="G728" s="560">
        <f t="shared" si="218"/>
        <v>1</v>
      </c>
      <c r="H728" s="68"/>
      <c r="I728" s="106"/>
      <c r="J728" s="106"/>
      <c r="K728" s="106"/>
      <c r="L728" s="106"/>
      <c r="M728" s="106"/>
      <c r="N728" s="106"/>
      <c r="O728" s="106"/>
      <c r="P728" s="106"/>
      <c r="Q728" s="106"/>
      <c r="R728" s="106"/>
      <c r="S728" s="106"/>
      <c r="T728" s="106"/>
      <c r="U728" s="106"/>
      <c r="V728" s="106"/>
      <c r="W728" s="106"/>
      <c r="X728" s="106"/>
      <c r="Y728" s="106"/>
      <c r="Z728" s="106"/>
      <c r="AA728" s="106"/>
      <c r="AB728" s="106"/>
      <c r="AC728" s="106"/>
      <c r="AD728" s="106"/>
      <c r="AE728" s="106"/>
    </row>
    <row r="729" spans="1:31" ht="21" customHeight="1" thickBot="1" x14ac:dyDescent="0.3">
      <c r="A729" s="298" t="s">
        <v>49</v>
      </c>
      <c r="B729" s="331"/>
      <c r="C729" s="462"/>
      <c r="D729" s="555">
        <f>D666+D667+D697</f>
        <v>5547712.5</v>
      </c>
      <c r="E729" s="555">
        <f>E666+E667+E697</f>
        <v>5643793.1000000006</v>
      </c>
      <c r="F729" s="555">
        <f>F666+F667+F697</f>
        <v>5434885.7999999998</v>
      </c>
      <c r="G729" s="561">
        <f t="shared" si="218"/>
        <v>0.96298459275553516</v>
      </c>
      <c r="H729" s="68"/>
    </row>
    <row r="730" spans="1:31" x14ac:dyDescent="0.25">
      <c r="B730" s="20"/>
      <c r="C730" s="20"/>
      <c r="D730" s="27"/>
      <c r="E730" s="27"/>
      <c r="F730" s="27"/>
    </row>
    <row r="731" spans="1:31" x14ac:dyDescent="0.25">
      <c r="B731" s="20"/>
      <c r="C731" s="20"/>
      <c r="D731" s="27"/>
      <c r="E731" s="27"/>
      <c r="F731" s="27"/>
    </row>
    <row r="732" spans="1:31" x14ac:dyDescent="0.25">
      <c r="B732" s="20"/>
      <c r="C732" s="20"/>
      <c r="D732" s="27"/>
      <c r="E732" s="27"/>
      <c r="F732" s="27"/>
    </row>
    <row r="733" spans="1:31" x14ac:dyDescent="0.25">
      <c r="B733" s="20"/>
      <c r="C733" s="20"/>
      <c r="D733" s="27"/>
      <c r="E733" s="27"/>
      <c r="F733" s="27"/>
    </row>
    <row r="734" spans="1:31" x14ac:dyDescent="0.25">
      <c r="B734" s="20"/>
      <c r="C734" s="20"/>
      <c r="D734" s="27"/>
      <c r="E734" s="27"/>
      <c r="F734" s="27"/>
    </row>
    <row r="735" spans="1:31" x14ac:dyDescent="0.25">
      <c r="B735" s="20"/>
      <c r="C735" s="20"/>
      <c r="D735" s="27"/>
      <c r="E735" s="27"/>
      <c r="F735" s="27"/>
    </row>
    <row r="736" spans="1:31" x14ac:dyDescent="0.25">
      <c r="B736" s="20"/>
      <c r="C736" s="20"/>
      <c r="D736" s="27"/>
      <c r="E736" s="27"/>
      <c r="F736" s="27"/>
    </row>
    <row r="737" spans="2:6" x14ac:dyDescent="0.25">
      <c r="B737" s="20"/>
      <c r="C737" s="20"/>
      <c r="D737" s="27"/>
      <c r="E737" s="27"/>
      <c r="F737" s="27"/>
    </row>
    <row r="738" spans="2:6" x14ac:dyDescent="0.25">
      <c r="B738" s="20"/>
      <c r="C738" s="20"/>
      <c r="D738" s="27"/>
      <c r="E738" s="27"/>
      <c r="F738" s="27"/>
    </row>
    <row r="739" spans="2:6" x14ac:dyDescent="0.25">
      <c r="B739" s="20"/>
      <c r="C739" s="20"/>
      <c r="D739" s="27"/>
      <c r="E739" s="27"/>
      <c r="F739" s="27"/>
    </row>
    <row r="740" spans="2:6" x14ac:dyDescent="0.25">
      <c r="B740" s="20"/>
      <c r="C740" s="20"/>
      <c r="D740" s="27"/>
      <c r="E740" s="27"/>
      <c r="F740" s="27"/>
    </row>
    <row r="741" spans="2:6" x14ac:dyDescent="0.25">
      <c r="B741" s="20"/>
      <c r="C741" s="20"/>
      <c r="D741" s="27"/>
      <c r="E741" s="27"/>
      <c r="F741" s="27"/>
    </row>
    <row r="742" spans="2:6" x14ac:dyDescent="0.25">
      <c r="B742" s="20"/>
      <c r="C742" s="20"/>
      <c r="D742" s="27"/>
      <c r="E742" s="27"/>
      <c r="F742" s="27"/>
    </row>
    <row r="743" spans="2:6" x14ac:dyDescent="0.25">
      <c r="B743" s="20"/>
      <c r="C743" s="20"/>
      <c r="D743" s="27"/>
      <c r="E743" s="27"/>
      <c r="F743" s="27"/>
    </row>
    <row r="744" spans="2:6" x14ac:dyDescent="0.25">
      <c r="B744" s="20"/>
      <c r="C744" s="20"/>
      <c r="D744" s="27"/>
      <c r="E744" s="27"/>
      <c r="F744" s="27"/>
    </row>
    <row r="745" spans="2:6" x14ac:dyDescent="0.25">
      <c r="B745" s="20"/>
      <c r="C745" s="20"/>
      <c r="D745" s="27"/>
      <c r="E745" s="27"/>
      <c r="F745" s="27"/>
    </row>
    <row r="746" spans="2:6" x14ac:dyDescent="0.25">
      <c r="B746" s="20"/>
      <c r="C746" s="20"/>
      <c r="D746" s="27"/>
      <c r="E746" s="27"/>
      <c r="F746" s="27"/>
    </row>
    <row r="747" spans="2:6" x14ac:dyDescent="0.25">
      <c r="B747" s="20"/>
      <c r="C747" s="20"/>
      <c r="D747" s="27"/>
      <c r="E747" s="27"/>
      <c r="F747" s="27"/>
    </row>
    <row r="748" spans="2:6" x14ac:dyDescent="0.25">
      <c r="B748" s="20"/>
      <c r="C748" s="20"/>
      <c r="D748" s="27"/>
      <c r="E748" s="27"/>
      <c r="F748" s="27"/>
    </row>
    <row r="749" spans="2:6" x14ac:dyDescent="0.25">
      <c r="B749" s="20"/>
      <c r="C749" s="20"/>
      <c r="D749" s="27"/>
      <c r="E749" s="27"/>
      <c r="F749" s="27"/>
    </row>
    <row r="750" spans="2:6" x14ac:dyDescent="0.25">
      <c r="B750" s="20"/>
      <c r="C750" s="20"/>
      <c r="D750" s="27"/>
      <c r="E750" s="27"/>
      <c r="F750" s="27"/>
    </row>
    <row r="751" spans="2:6" x14ac:dyDescent="0.25">
      <c r="B751" s="20"/>
      <c r="C751" s="20"/>
      <c r="D751" s="27"/>
      <c r="E751" s="27"/>
      <c r="F751" s="27"/>
    </row>
    <row r="752" spans="2:6" x14ac:dyDescent="0.25">
      <c r="B752" s="20"/>
      <c r="C752" s="20"/>
      <c r="D752" s="27"/>
      <c r="E752" s="27"/>
      <c r="F752" s="27"/>
    </row>
    <row r="753" spans="2:6" x14ac:dyDescent="0.25">
      <c r="B753" s="20"/>
      <c r="C753" s="20"/>
      <c r="D753" s="27"/>
      <c r="E753" s="27"/>
      <c r="F753" s="27"/>
    </row>
    <row r="754" spans="2:6" x14ac:dyDescent="0.25">
      <c r="B754" s="20"/>
      <c r="C754" s="20"/>
      <c r="D754" s="27"/>
      <c r="E754" s="27"/>
      <c r="F754" s="27"/>
    </row>
    <row r="755" spans="2:6" x14ac:dyDescent="0.25">
      <c r="B755" s="20"/>
      <c r="C755" s="20"/>
      <c r="D755" s="27"/>
      <c r="E755" s="27"/>
      <c r="F755" s="27"/>
    </row>
    <row r="756" spans="2:6" x14ac:dyDescent="0.25">
      <c r="B756" s="20"/>
      <c r="C756" s="20"/>
      <c r="D756" s="27"/>
      <c r="E756" s="27"/>
      <c r="F756" s="27"/>
    </row>
    <row r="757" spans="2:6" x14ac:dyDescent="0.25">
      <c r="B757" s="20"/>
      <c r="C757" s="20"/>
      <c r="D757" s="27"/>
      <c r="E757" s="27"/>
      <c r="F757" s="27"/>
    </row>
    <row r="758" spans="2:6" x14ac:dyDescent="0.25">
      <c r="B758" s="20"/>
      <c r="C758" s="20"/>
      <c r="D758" s="27"/>
      <c r="E758" s="27"/>
      <c r="F758" s="27"/>
    </row>
    <row r="759" spans="2:6" x14ac:dyDescent="0.25">
      <c r="B759" s="20"/>
      <c r="C759" s="20"/>
      <c r="D759" s="27"/>
      <c r="E759" s="27"/>
      <c r="F759" s="27"/>
    </row>
    <row r="760" spans="2:6" x14ac:dyDescent="0.25">
      <c r="B760" s="20"/>
      <c r="C760" s="20"/>
      <c r="D760" s="27"/>
      <c r="E760" s="27"/>
      <c r="F760" s="27"/>
    </row>
    <row r="761" spans="2:6" x14ac:dyDescent="0.25">
      <c r="B761" s="20"/>
      <c r="C761" s="20"/>
      <c r="D761" s="27"/>
      <c r="E761" s="27"/>
      <c r="F761" s="27"/>
    </row>
    <row r="762" spans="2:6" x14ac:dyDescent="0.25">
      <c r="B762" s="20"/>
      <c r="C762" s="20"/>
      <c r="D762" s="27"/>
      <c r="E762" s="27"/>
      <c r="F762" s="27"/>
    </row>
    <row r="763" spans="2:6" x14ac:dyDescent="0.25">
      <c r="B763" s="20"/>
      <c r="C763" s="20"/>
      <c r="D763" s="27"/>
      <c r="E763" s="27"/>
      <c r="F763" s="27"/>
    </row>
    <row r="764" spans="2:6" x14ac:dyDescent="0.25">
      <c r="B764" s="20"/>
      <c r="C764" s="20"/>
      <c r="D764" s="27"/>
      <c r="E764" s="27"/>
      <c r="F764" s="27"/>
    </row>
    <row r="765" spans="2:6" x14ac:dyDescent="0.25">
      <c r="B765" s="20"/>
      <c r="C765" s="20"/>
      <c r="D765" s="27"/>
      <c r="E765" s="27"/>
      <c r="F765" s="27"/>
    </row>
    <row r="766" spans="2:6" x14ac:dyDescent="0.25">
      <c r="B766" s="20"/>
      <c r="C766" s="20"/>
      <c r="D766" s="27"/>
      <c r="E766" s="27"/>
      <c r="F766" s="27"/>
    </row>
    <row r="767" spans="2:6" x14ac:dyDescent="0.25">
      <c r="B767" s="20"/>
      <c r="C767" s="20"/>
      <c r="D767" s="27"/>
      <c r="E767" s="27"/>
      <c r="F767" s="27"/>
    </row>
    <row r="768" spans="2:6" x14ac:dyDescent="0.25">
      <c r="B768" s="20"/>
      <c r="C768" s="20"/>
      <c r="D768" s="27"/>
      <c r="E768" s="27"/>
      <c r="F768" s="27"/>
    </row>
    <row r="769" spans="2:6" x14ac:dyDescent="0.25">
      <c r="B769" s="20"/>
      <c r="C769" s="20"/>
      <c r="D769" s="27"/>
      <c r="E769" s="27"/>
      <c r="F769" s="27"/>
    </row>
    <row r="770" spans="2:6" x14ac:dyDescent="0.25">
      <c r="B770" s="20"/>
      <c r="C770" s="20"/>
      <c r="D770" s="27"/>
      <c r="E770" s="27"/>
      <c r="F770" s="27"/>
    </row>
    <row r="771" spans="2:6" x14ac:dyDescent="0.25">
      <c r="B771" s="20"/>
      <c r="C771" s="20"/>
      <c r="D771" s="27"/>
      <c r="E771" s="27"/>
      <c r="F771" s="27"/>
    </row>
    <row r="772" spans="2:6" x14ac:dyDescent="0.25">
      <c r="B772" s="20"/>
      <c r="C772" s="20"/>
      <c r="D772" s="27"/>
      <c r="E772" s="27"/>
      <c r="F772" s="27"/>
    </row>
    <row r="773" spans="2:6" x14ac:dyDescent="0.25">
      <c r="B773" s="20"/>
      <c r="C773" s="20"/>
      <c r="D773" s="27"/>
      <c r="E773" s="27"/>
      <c r="F773" s="27"/>
    </row>
    <row r="774" spans="2:6" x14ac:dyDescent="0.25">
      <c r="B774" s="20"/>
      <c r="C774" s="20"/>
      <c r="D774" s="27"/>
      <c r="E774" s="27"/>
      <c r="F774" s="27"/>
    </row>
    <row r="775" spans="2:6" x14ac:dyDescent="0.25">
      <c r="B775" s="20"/>
      <c r="C775" s="20"/>
      <c r="D775" s="27"/>
      <c r="E775" s="27"/>
      <c r="F775" s="27"/>
    </row>
    <row r="776" spans="2:6" x14ac:dyDescent="0.25">
      <c r="B776" s="20"/>
      <c r="C776" s="20"/>
      <c r="D776" s="27"/>
      <c r="E776" s="27"/>
      <c r="F776" s="27"/>
    </row>
    <row r="777" spans="2:6" x14ac:dyDescent="0.25">
      <c r="B777" s="20"/>
      <c r="C777" s="20"/>
      <c r="D777" s="27"/>
      <c r="E777" s="27"/>
      <c r="F777" s="27"/>
    </row>
    <row r="778" spans="2:6" x14ac:dyDescent="0.25">
      <c r="B778" s="20"/>
      <c r="C778" s="20"/>
      <c r="D778" s="27"/>
      <c r="E778" s="27"/>
      <c r="F778" s="27"/>
    </row>
    <row r="779" spans="2:6" x14ac:dyDescent="0.25">
      <c r="B779" s="20"/>
      <c r="C779" s="20"/>
      <c r="D779" s="27"/>
      <c r="E779" s="27"/>
      <c r="F779" s="27"/>
    </row>
    <row r="780" spans="2:6" x14ac:dyDescent="0.25">
      <c r="B780" s="20"/>
      <c r="C780" s="20"/>
      <c r="D780" s="27"/>
      <c r="E780" s="27"/>
      <c r="F780" s="27"/>
    </row>
    <row r="781" spans="2:6" x14ac:dyDescent="0.25">
      <c r="B781" s="20"/>
      <c r="C781" s="20"/>
      <c r="D781" s="27"/>
      <c r="E781" s="27"/>
      <c r="F781" s="27"/>
    </row>
    <row r="782" spans="2:6" x14ac:dyDescent="0.25">
      <c r="B782" s="20"/>
      <c r="C782" s="20"/>
      <c r="D782" s="27"/>
      <c r="E782" s="27"/>
      <c r="F782" s="27"/>
    </row>
    <row r="783" spans="2:6" x14ac:dyDescent="0.25">
      <c r="B783" s="20"/>
      <c r="C783" s="20"/>
      <c r="D783" s="27"/>
      <c r="E783" s="27"/>
      <c r="F783" s="27"/>
    </row>
    <row r="784" spans="2:6" x14ac:dyDescent="0.25">
      <c r="B784" s="20"/>
      <c r="C784" s="20"/>
      <c r="D784" s="27"/>
      <c r="E784" s="27"/>
      <c r="F784" s="27"/>
    </row>
    <row r="785" spans="2:6" x14ac:dyDescent="0.25">
      <c r="B785" s="20"/>
      <c r="C785" s="20"/>
      <c r="D785" s="27"/>
      <c r="E785" s="27"/>
      <c r="F785" s="27"/>
    </row>
    <row r="786" spans="2:6" x14ac:dyDescent="0.25">
      <c r="B786" s="20"/>
      <c r="C786" s="20"/>
      <c r="D786" s="27"/>
      <c r="E786" s="27"/>
      <c r="F786" s="27"/>
    </row>
    <row r="787" spans="2:6" x14ac:dyDescent="0.25">
      <c r="B787" s="20"/>
      <c r="C787" s="20"/>
      <c r="D787" s="27"/>
      <c r="E787" s="27"/>
      <c r="F787" s="27"/>
    </row>
    <row r="788" spans="2:6" x14ac:dyDescent="0.25">
      <c r="B788" s="20"/>
      <c r="C788" s="20"/>
      <c r="D788" s="27"/>
      <c r="E788" s="27"/>
      <c r="F788" s="27"/>
    </row>
    <row r="789" spans="2:6" x14ac:dyDescent="0.25">
      <c r="B789" s="20"/>
      <c r="C789" s="20"/>
      <c r="D789" s="27"/>
      <c r="E789" s="27"/>
      <c r="F789" s="27"/>
    </row>
    <row r="790" spans="2:6" x14ac:dyDescent="0.25">
      <c r="B790" s="20"/>
      <c r="C790" s="20"/>
      <c r="D790" s="27"/>
      <c r="E790" s="27"/>
      <c r="F790" s="27"/>
    </row>
    <row r="791" spans="2:6" x14ac:dyDescent="0.25">
      <c r="B791" s="20"/>
      <c r="C791" s="20"/>
      <c r="D791" s="27"/>
      <c r="E791" s="27"/>
      <c r="F791" s="27"/>
    </row>
    <row r="792" spans="2:6" x14ac:dyDescent="0.25">
      <c r="B792" s="20"/>
      <c r="C792" s="20"/>
      <c r="D792" s="27"/>
      <c r="E792" s="27"/>
      <c r="F792" s="27"/>
    </row>
    <row r="793" spans="2:6" x14ac:dyDescent="0.25">
      <c r="B793" s="20"/>
      <c r="C793" s="20"/>
      <c r="D793" s="27"/>
      <c r="E793" s="27"/>
      <c r="F793" s="27"/>
    </row>
    <row r="794" spans="2:6" x14ac:dyDescent="0.25">
      <c r="B794" s="20"/>
      <c r="C794" s="20"/>
      <c r="D794" s="27"/>
      <c r="E794" s="27"/>
      <c r="F794" s="27"/>
    </row>
    <row r="795" spans="2:6" x14ac:dyDescent="0.25">
      <c r="B795" s="20"/>
      <c r="C795" s="20"/>
      <c r="D795" s="27"/>
      <c r="E795" s="27"/>
      <c r="F795" s="27"/>
    </row>
    <row r="796" spans="2:6" x14ac:dyDescent="0.25">
      <c r="B796" s="20"/>
      <c r="C796" s="20"/>
      <c r="D796" s="27"/>
      <c r="E796" s="27"/>
      <c r="F796" s="27"/>
    </row>
    <row r="797" spans="2:6" x14ac:dyDescent="0.25">
      <c r="B797" s="20"/>
      <c r="C797" s="20"/>
      <c r="D797" s="27"/>
      <c r="E797" s="27"/>
      <c r="F797" s="27"/>
    </row>
    <row r="798" spans="2:6" x14ac:dyDescent="0.25">
      <c r="B798" s="20"/>
      <c r="C798" s="20"/>
      <c r="D798" s="27"/>
      <c r="E798" s="27"/>
      <c r="F798" s="27"/>
    </row>
    <row r="799" spans="2:6" x14ac:dyDescent="0.25">
      <c r="B799" s="20"/>
      <c r="C799" s="20"/>
      <c r="D799" s="27"/>
      <c r="E799" s="27"/>
      <c r="F799" s="27"/>
    </row>
    <row r="800" spans="2:6" x14ac:dyDescent="0.25">
      <c r="B800" s="20"/>
      <c r="C800" s="20"/>
      <c r="D800" s="27"/>
      <c r="E800" s="27"/>
      <c r="F800" s="27"/>
    </row>
    <row r="801" spans="2:6" x14ac:dyDescent="0.25">
      <c r="B801" s="20"/>
      <c r="C801" s="20"/>
      <c r="D801" s="27"/>
      <c r="E801" s="27"/>
      <c r="F801" s="27"/>
    </row>
    <row r="802" spans="2:6" x14ac:dyDescent="0.25">
      <c r="B802" s="20"/>
      <c r="C802" s="20"/>
      <c r="D802" s="27"/>
      <c r="E802" s="27"/>
      <c r="F802" s="27"/>
    </row>
    <row r="803" spans="2:6" x14ac:dyDescent="0.25">
      <c r="B803" s="20"/>
      <c r="C803" s="20"/>
      <c r="D803" s="27"/>
      <c r="E803" s="27"/>
      <c r="F803" s="27"/>
    </row>
    <row r="804" spans="2:6" x14ac:dyDescent="0.25">
      <c r="B804" s="20"/>
      <c r="C804" s="20"/>
      <c r="D804" s="27"/>
      <c r="E804" s="27"/>
      <c r="F804" s="27"/>
    </row>
    <row r="805" spans="2:6" x14ac:dyDescent="0.25">
      <c r="B805" s="20"/>
      <c r="C805" s="20"/>
      <c r="D805" s="27"/>
      <c r="E805" s="27"/>
      <c r="F805" s="27"/>
    </row>
    <row r="806" spans="2:6" x14ac:dyDescent="0.25">
      <c r="B806" s="20"/>
      <c r="C806" s="20"/>
      <c r="D806" s="27"/>
      <c r="E806" s="27"/>
      <c r="F806" s="27"/>
    </row>
    <row r="807" spans="2:6" x14ac:dyDescent="0.25">
      <c r="B807" s="20"/>
      <c r="C807" s="20"/>
      <c r="D807" s="27"/>
      <c r="E807" s="27"/>
      <c r="F807" s="27"/>
    </row>
    <row r="808" spans="2:6" x14ac:dyDescent="0.25">
      <c r="B808" s="20"/>
      <c r="C808" s="20"/>
      <c r="D808" s="27"/>
      <c r="E808" s="27"/>
      <c r="F808" s="27"/>
    </row>
    <row r="809" spans="2:6" x14ac:dyDescent="0.25">
      <c r="B809" s="20"/>
      <c r="C809" s="20"/>
      <c r="D809" s="27"/>
      <c r="E809" s="27"/>
      <c r="F809" s="27"/>
    </row>
    <row r="810" spans="2:6" x14ac:dyDescent="0.25">
      <c r="B810" s="20"/>
      <c r="C810" s="20"/>
      <c r="D810" s="27"/>
      <c r="E810" s="27"/>
      <c r="F810" s="27"/>
    </row>
    <row r="811" spans="2:6" x14ac:dyDescent="0.25">
      <c r="B811" s="20"/>
      <c r="C811" s="20"/>
      <c r="D811" s="27"/>
      <c r="E811" s="27"/>
      <c r="F811" s="27"/>
    </row>
    <row r="812" spans="2:6" x14ac:dyDescent="0.25">
      <c r="B812" s="20"/>
      <c r="C812" s="20"/>
      <c r="D812" s="27"/>
      <c r="E812" s="27"/>
      <c r="F812" s="27"/>
    </row>
    <row r="813" spans="2:6" x14ac:dyDescent="0.25">
      <c r="B813" s="20"/>
      <c r="C813" s="20"/>
      <c r="D813" s="27"/>
      <c r="E813" s="27"/>
      <c r="F813" s="27"/>
    </row>
    <row r="814" spans="2:6" x14ac:dyDescent="0.25">
      <c r="B814" s="20"/>
      <c r="C814" s="20"/>
      <c r="D814" s="27"/>
      <c r="E814" s="27"/>
      <c r="F814" s="27"/>
    </row>
    <row r="815" spans="2:6" x14ac:dyDescent="0.25">
      <c r="B815" s="20"/>
      <c r="C815" s="20"/>
      <c r="D815" s="27"/>
      <c r="E815" s="27"/>
      <c r="F815" s="27"/>
    </row>
    <row r="816" spans="2:6" x14ac:dyDescent="0.25">
      <c r="B816" s="20"/>
      <c r="C816" s="20"/>
      <c r="D816" s="27"/>
      <c r="E816" s="27"/>
      <c r="F816" s="27"/>
    </row>
    <row r="817" spans="2:6" x14ac:dyDescent="0.25">
      <c r="B817" s="20"/>
      <c r="C817" s="20"/>
      <c r="D817" s="27"/>
      <c r="E817" s="27"/>
      <c r="F817" s="27"/>
    </row>
    <row r="818" spans="2:6" x14ac:dyDescent="0.25">
      <c r="B818" s="20"/>
      <c r="C818" s="20"/>
      <c r="D818" s="27"/>
      <c r="E818" s="27"/>
      <c r="F818" s="27"/>
    </row>
    <row r="819" spans="2:6" x14ac:dyDescent="0.25">
      <c r="B819" s="20"/>
      <c r="C819" s="20"/>
      <c r="D819" s="27"/>
      <c r="E819" s="27"/>
      <c r="F819" s="27"/>
    </row>
    <row r="820" spans="2:6" x14ac:dyDescent="0.25">
      <c r="B820" s="20"/>
      <c r="C820" s="20"/>
      <c r="D820" s="27"/>
      <c r="E820" s="27"/>
      <c r="F820" s="27"/>
    </row>
    <row r="821" spans="2:6" x14ac:dyDescent="0.25">
      <c r="B821" s="20"/>
      <c r="C821" s="20"/>
      <c r="D821" s="27"/>
      <c r="E821" s="27"/>
      <c r="F821" s="27"/>
    </row>
    <row r="822" spans="2:6" x14ac:dyDescent="0.25">
      <c r="B822" s="20"/>
      <c r="C822" s="20"/>
      <c r="D822" s="27"/>
      <c r="E822" s="27"/>
      <c r="F822" s="27"/>
    </row>
    <row r="823" spans="2:6" x14ac:dyDescent="0.25">
      <c r="B823" s="20"/>
      <c r="C823" s="20"/>
      <c r="D823" s="27"/>
      <c r="E823" s="27"/>
      <c r="F823" s="27"/>
    </row>
    <row r="824" spans="2:6" x14ac:dyDescent="0.25">
      <c r="B824" s="20"/>
      <c r="C824" s="20"/>
      <c r="D824" s="27"/>
      <c r="E824" s="27"/>
      <c r="F824" s="27"/>
    </row>
    <row r="825" spans="2:6" x14ac:dyDescent="0.25">
      <c r="B825" s="20"/>
      <c r="C825" s="20"/>
      <c r="D825" s="27"/>
      <c r="E825" s="27"/>
      <c r="F825" s="27"/>
    </row>
    <row r="826" spans="2:6" x14ac:dyDescent="0.25">
      <c r="B826" s="20"/>
      <c r="C826" s="20"/>
      <c r="D826" s="27"/>
      <c r="E826" s="27"/>
      <c r="F826" s="27"/>
    </row>
    <row r="827" spans="2:6" x14ac:dyDescent="0.25">
      <c r="B827" s="20"/>
      <c r="C827" s="20"/>
      <c r="D827" s="27"/>
      <c r="E827" s="27"/>
      <c r="F827" s="27"/>
    </row>
    <row r="828" spans="2:6" x14ac:dyDescent="0.25">
      <c r="B828" s="20"/>
      <c r="C828" s="20"/>
      <c r="D828" s="27"/>
      <c r="E828" s="27"/>
      <c r="F828" s="27"/>
    </row>
    <row r="829" spans="2:6" x14ac:dyDescent="0.25">
      <c r="B829" s="20"/>
      <c r="C829" s="20"/>
      <c r="D829" s="27"/>
      <c r="E829" s="27"/>
      <c r="F829" s="27"/>
    </row>
    <row r="830" spans="2:6" x14ac:dyDescent="0.25">
      <c r="B830" s="20"/>
      <c r="C830" s="20"/>
      <c r="D830" s="27"/>
      <c r="E830" s="27"/>
      <c r="F830" s="27"/>
    </row>
    <row r="831" spans="2:6" x14ac:dyDescent="0.25">
      <c r="B831" s="20"/>
      <c r="C831" s="20"/>
      <c r="D831" s="27"/>
      <c r="E831" s="27"/>
      <c r="F831" s="27"/>
    </row>
    <row r="832" spans="2:6" x14ac:dyDescent="0.25">
      <c r="B832" s="20"/>
      <c r="C832" s="20"/>
      <c r="D832" s="27"/>
      <c r="E832" s="27"/>
      <c r="F832" s="27"/>
    </row>
    <row r="833" spans="2:6" x14ac:dyDescent="0.25">
      <c r="B833" s="20"/>
      <c r="C833" s="20"/>
      <c r="D833" s="27"/>
      <c r="E833" s="27"/>
      <c r="F833" s="27"/>
    </row>
    <row r="834" spans="2:6" x14ac:dyDescent="0.25">
      <c r="B834" s="20"/>
      <c r="C834" s="20"/>
      <c r="D834" s="27"/>
      <c r="E834" s="27"/>
      <c r="F834" s="27"/>
    </row>
    <row r="835" spans="2:6" x14ac:dyDescent="0.25">
      <c r="B835" s="20"/>
      <c r="C835" s="20"/>
      <c r="D835" s="27"/>
      <c r="E835" s="27"/>
      <c r="F835" s="27"/>
    </row>
    <row r="836" spans="2:6" x14ac:dyDescent="0.25">
      <c r="B836" s="20"/>
      <c r="C836" s="20"/>
      <c r="D836" s="27"/>
      <c r="E836" s="27"/>
      <c r="F836" s="27"/>
    </row>
    <row r="837" spans="2:6" x14ac:dyDescent="0.25">
      <c r="B837" s="20"/>
      <c r="C837" s="20"/>
      <c r="D837" s="27"/>
      <c r="E837" s="27"/>
      <c r="F837" s="27"/>
    </row>
    <row r="838" spans="2:6" x14ac:dyDescent="0.25">
      <c r="B838" s="20"/>
      <c r="C838" s="20"/>
      <c r="D838" s="27"/>
      <c r="E838" s="27"/>
      <c r="F838" s="27"/>
    </row>
    <row r="839" spans="2:6" x14ac:dyDescent="0.25">
      <c r="B839" s="20"/>
      <c r="C839" s="20"/>
      <c r="D839" s="27"/>
      <c r="E839" s="27"/>
      <c r="F839" s="27"/>
    </row>
    <row r="840" spans="2:6" x14ac:dyDescent="0.25">
      <c r="B840" s="20"/>
      <c r="C840" s="20"/>
      <c r="D840" s="27"/>
      <c r="E840" s="27"/>
      <c r="F840" s="27"/>
    </row>
    <row r="841" spans="2:6" x14ac:dyDescent="0.25">
      <c r="B841" s="20"/>
      <c r="C841" s="20"/>
      <c r="D841" s="27"/>
      <c r="E841" s="27"/>
      <c r="F841" s="27"/>
    </row>
    <row r="842" spans="2:6" x14ac:dyDescent="0.25">
      <c r="B842" s="20"/>
      <c r="C842" s="20"/>
      <c r="D842" s="27"/>
      <c r="E842" s="27"/>
      <c r="F842" s="27"/>
    </row>
    <row r="843" spans="2:6" x14ac:dyDescent="0.25">
      <c r="B843" s="20"/>
      <c r="C843" s="20"/>
      <c r="D843" s="27"/>
      <c r="E843" s="27"/>
      <c r="F843" s="27"/>
    </row>
    <row r="844" spans="2:6" x14ac:dyDescent="0.25">
      <c r="B844" s="20"/>
      <c r="C844" s="20"/>
      <c r="D844" s="27"/>
      <c r="E844" s="27"/>
      <c r="F844" s="27"/>
    </row>
    <row r="845" spans="2:6" x14ac:dyDescent="0.25">
      <c r="B845" s="20"/>
      <c r="C845" s="20"/>
      <c r="D845" s="27"/>
      <c r="E845" s="27"/>
      <c r="F845" s="27"/>
    </row>
    <row r="846" spans="2:6" x14ac:dyDescent="0.25">
      <c r="B846" s="20"/>
      <c r="C846" s="20"/>
      <c r="D846" s="27"/>
      <c r="E846" s="27"/>
      <c r="F846" s="27"/>
    </row>
    <row r="847" spans="2:6" x14ac:dyDescent="0.25">
      <c r="B847" s="20"/>
      <c r="C847" s="20"/>
      <c r="D847" s="27"/>
      <c r="E847" s="27"/>
      <c r="F847" s="27"/>
    </row>
    <row r="848" spans="2:6" x14ac:dyDescent="0.25">
      <c r="B848" s="20"/>
      <c r="C848" s="20"/>
      <c r="D848" s="27"/>
      <c r="E848" s="27"/>
      <c r="F848" s="27"/>
    </row>
    <row r="849" spans="2:6" x14ac:dyDescent="0.25">
      <c r="B849" s="20"/>
      <c r="C849" s="20"/>
      <c r="D849" s="27"/>
      <c r="E849" s="27"/>
      <c r="F849" s="27"/>
    </row>
    <row r="850" spans="2:6" x14ac:dyDescent="0.25">
      <c r="B850" s="20"/>
      <c r="C850" s="20"/>
      <c r="D850" s="27"/>
      <c r="E850" s="27"/>
      <c r="F850" s="27"/>
    </row>
    <row r="851" spans="2:6" x14ac:dyDescent="0.25">
      <c r="B851" s="20"/>
      <c r="C851" s="20"/>
      <c r="D851" s="27"/>
      <c r="E851" s="27"/>
      <c r="F851" s="27"/>
    </row>
    <row r="852" spans="2:6" x14ac:dyDescent="0.25">
      <c r="B852" s="20"/>
      <c r="C852" s="20"/>
      <c r="D852" s="27"/>
      <c r="E852" s="27"/>
      <c r="F852" s="27"/>
    </row>
    <row r="853" spans="2:6" x14ac:dyDescent="0.25">
      <c r="B853" s="20"/>
      <c r="C853" s="20"/>
      <c r="D853" s="27"/>
      <c r="E853" s="27"/>
      <c r="F853" s="27"/>
    </row>
    <row r="854" spans="2:6" x14ac:dyDescent="0.25">
      <c r="B854" s="20"/>
      <c r="C854" s="20"/>
      <c r="D854" s="27"/>
      <c r="E854" s="27"/>
      <c r="F854" s="27"/>
    </row>
    <row r="855" spans="2:6" x14ac:dyDescent="0.25">
      <c r="B855" s="20"/>
      <c r="C855" s="20"/>
      <c r="D855" s="27"/>
      <c r="E855" s="27"/>
      <c r="F855" s="27"/>
    </row>
    <row r="856" spans="2:6" x14ac:dyDescent="0.25">
      <c r="B856" s="20"/>
      <c r="C856" s="20"/>
      <c r="D856" s="27"/>
      <c r="E856" s="27"/>
      <c r="F856" s="27"/>
    </row>
    <row r="857" spans="2:6" x14ac:dyDescent="0.25">
      <c r="B857" s="20"/>
      <c r="C857" s="20"/>
      <c r="D857" s="27"/>
      <c r="E857" s="27"/>
      <c r="F857" s="27"/>
    </row>
    <row r="858" spans="2:6" x14ac:dyDescent="0.25">
      <c r="B858" s="20"/>
      <c r="C858" s="20"/>
      <c r="D858" s="27"/>
      <c r="E858" s="27"/>
      <c r="F858" s="27"/>
    </row>
    <row r="859" spans="2:6" x14ac:dyDescent="0.25">
      <c r="B859" s="20"/>
      <c r="C859" s="20"/>
      <c r="D859" s="27"/>
      <c r="E859" s="27"/>
      <c r="F859" s="27"/>
    </row>
    <row r="860" spans="2:6" x14ac:dyDescent="0.25">
      <c r="B860" s="20"/>
      <c r="C860" s="20"/>
      <c r="D860" s="27"/>
      <c r="E860" s="27"/>
      <c r="F860" s="27"/>
    </row>
    <row r="861" spans="2:6" x14ac:dyDescent="0.25">
      <c r="B861" s="20"/>
      <c r="C861" s="20"/>
      <c r="D861" s="27"/>
      <c r="E861" s="27"/>
      <c r="F861" s="27"/>
    </row>
    <row r="862" spans="2:6" x14ac:dyDescent="0.25">
      <c r="B862" s="20"/>
      <c r="C862" s="20"/>
      <c r="D862" s="27"/>
      <c r="E862" s="27"/>
      <c r="F862" s="27"/>
    </row>
    <row r="863" spans="2:6" x14ac:dyDescent="0.25">
      <c r="B863" s="20"/>
      <c r="C863" s="20"/>
      <c r="D863" s="27"/>
      <c r="E863" s="27"/>
      <c r="F863" s="27"/>
    </row>
    <row r="864" spans="2:6" x14ac:dyDescent="0.25">
      <c r="B864" s="20"/>
      <c r="C864" s="20"/>
      <c r="D864" s="27"/>
      <c r="E864" s="27"/>
      <c r="F864" s="27"/>
    </row>
    <row r="865" spans="2:6" x14ac:dyDescent="0.25">
      <c r="B865" s="20"/>
      <c r="C865" s="20"/>
      <c r="D865" s="27"/>
      <c r="E865" s="27"/>
      <c r="F865" s="27"/>
    </row>
    <row r="866" spans="2:6" x14ac:dyDescent="0.25">
      <c r="B866" s="20"/>
      <c r="C866" s="20"/>
      <c r="D866" s="27"/>
      <c r="E866" s="27"/>
      <c r="F866" s="27"/>
    </row>
    <row r="867" spans="2:6" x14ac:dyDescent="0.25">
      <c r="B867" s="20"/>
      <c r="C867" s="20"/>
      <c r="D867" s="27"/>
      <c r="E867" s="27"/>
      <c r="F867" s="27"/>
    </row>
    <row r="868" spans="2:6" x14ac:dyDescent="0.25">
      <c r="B868" s="20"/>
      <c r="C868" s="20"/>
      <c r="D868" s="27"/>
      <c r="E868" s="27"/>
      <c r="F868" s="27"/>
    </row>
    <row r="869" spans="2:6" x14ac:dyDescent="0.25">
      <c r="B869" s="20"/>
      <c r="C869" s="20"/>
      <c r="D869" s="27"/>
      <c r="E869" s="27"/>
      <c r="F869" s="27"/>
    </row>
    <row r="870" spans="2:6" x14ac:dyDescent="0.25">
      <c r="B870" s="20"/>
      <c r="C870" s="20"/>
      <c r="D870" s="27"/>
      <c r="E870" s="27"/>
      <c r="F870" s="27"/>
    </row>
    <row r="871" spans="2:6" x14ac:dyDescent="0.25">
      <c r="B871" s="20"/>
      <c r="C871" s="20"/>
      <c r="D871" s="27"/>
      <c r="E871" s="27"/>
      <c r="F871" s="27"/>
    </row>
    <row r="872" spans="2:6" x14ac:dyDescent="0.25">
      <c r="B872" s="20"/>
      <c r="C872" s="20"/>
      <c r="D872" s="27"/>
      <c r="E872" s="27"/>
      <c r="F872" s="27"/>
    </row>
    <row r="873" spans="2:6" x14ac:dyDescent="0.25">
      <c r="B873" s="20"/>
      <c r="C873" s="20"/>
      <c r="D873" s="27"/>
      <c r="E873" s="27"/>
      <c r="F873" s="27"/>
    </row>
    <row r="874" spans="2:6" x14ac:dyDescent="0.25">
      <c r="B874" s="20"/>
      <c r="C874" s="20"/>
      <c r="D874" s="27"/>
      <c r="E874" s="27"/>
      <c r="F874" s="27"/>
    </row>
    <row r="875" spans="2:6" x14ac:dyDescent="0.25">
      <c r="B875" s="20"/>
      <c r="C875" s="20"/>
      <c r="D875" s="27"/>
      <c r="E875" s="27"/>
      <c r="F875" s="27"/>
    </row>
    <row r="876" spans="2:6" x14ac:dyDescent="0.25">
      <c r="B876" s="20"/>
      <c r="C876" s="20"/>
      <c r="D876" s="27"/>
      <c r="E876" s="27"/>
      <c r="F876" s="27"/>
    </row>
    <row r="877" spans="2:6" x14ac:dyDescent="0.25">
      <c r="B877" s="20"/>
      <c r="C877" s="20"/>
      <c r="D877" s="27"/>
      <c r="E877" s="27"/>
      <c r="F877" s="27"/>
    </row>
    <row r="878" spans="2:6" x14ac:dyDescent="0.25">
      <c r="B878" s="20"/>
      <c r="C878" s="20"/>
      <c r="D878" s="27"/>
      <c r="E878" s="27"/>
      <c r="F878" s="27"/>
    </row>
    <row r="879" spans="2:6" x14ac:dyDescent="0.25">
      <c r="B879" s="20"/>
      <c r="C879" s="20"/>
      <c r="D879" s="27"/>
      <c r="E879" s="27"/>
      <c r="F879" s="27"/>
    </row>
    <row r="880" spans="2:6" x14ac:dyDescent="0.25">
      <c r="B880" s="20"/>
      <c r="C880" s="20"/>
      <c r="D880" s="27"/>
      <c r="E880" s="27"/>
      <c r="F880" s="27"/>
    </row>
    <row r="881" spans="2:6" x14ac:dyDescent="0.25">
      <c r="B881" s="20"/>
      <c r="C881" s="20"/>
      <c r="D881" s="27"/>
      <c r="E881" s="27"/>
      <c r="F881" s="27"/>
    </row>
    <row r="882" spans="2:6" x14ac:dyDescent="0.25">
      <c r="B882" s="20"/>
      <c r="C882" s="20"/>
      <c r="D882" s="27"/>
      <c r="E882" s="27"/>
      <c r="F882" s="27"/>
    </row>
    <row r="883" spans="2:6" x14ac:dyDescent="0.25">
      <c r="B883" s="20"/>
      <c r="C883" s="20"/>
      <c r="D883" s="27"/>
      <c r="E883" s="27"/>
      <c r="F883" s="27"/>
    </row>
    <row r="884" spans="2:6" x14ac:dyDescent="0.25">
      <c r="B884" s="20"/>
      <c r="C884" s="20"/>
      <c r="D884" s="27"/>
      <c r="E884" s="27"/>
      <c r="F884" s="27"/>
    </row>
    <row r="885" spans="2:6" x14ac:dyDescent="0.25">
      <c r="B885" s="20"/>
      <c r="C885" s="20"/>
      <c r="D885" s="27"/>
      <c r="E885" s="27"/>
      <c r="F885" s="27"/>
    </row>
    <row r="886" spans="2:6" x14ac:dyDescent="0.25">
      <c r="B886" s="20"/>
      <c r="C886" s="20"/>
      <c r="D886" s="27"/>
      <c r="E886" s="27"/>
      <c r="F886" s="27"/>
    </row>
    <row r="887" spans="2:6" x14ac:dyDescent="0.25">
      <c r="B887" s="20"/>
      <c r="C887" s="20"/>
      <c r="D887" s="27"/>
      <c r="E887" s="27"/>
      <c r="F887" s="27"/>
    </row>
    <row r="888" spans="2:6" x14ac:dyDescent="0.25">
      <c r="B888" s="20"/>
      <c r="C888" s="20"/>
      <c r="D888" s="27"/>
      <c r="E888" s="27"/>
      <c r="F888" s="27"/>
    </row>
    <row r="889" spans="2:6" x14ac:dyDescent="0.25">
      <c r="B889" s="20"/>
      <c r="C889" s="20"/>
      <c r="D889" s="27"/>
      <c r="E889" s="27"/>
      <c r="F889" s="27"/>
    </row>
    <row r="890" spans="2:6" x14ac:dyDescent="0.25">
      <c r="B890" s="20"/>
      <c r="C890" s="20"/>
      <c r="D890" s="27"/>
      <c r="E890" s="27"/>
      <c r="F890" s="27"/>
    </row>
    <row r="891" spans="2:6" x14ac:dyDescent="0.25">
      <c r="B891" s="20"/>
      <c r="C891" s="20"/>
      <c r="D891" s="27"/>
      <c r="E891" s="27"/>
      <c r="F891" s="27"/>
    </row>
    <row r="892" spans="2:6" x14ac:dyDescent="0.25">
      <c r="B892" s="20"/>
      <c r="C892" s="20"/>
      <c r="D892" s="27"/>
      <c r="E892" s="27"/>
      <c r="F892" s="27"/>
    </row>
    <row r="893" spans="2:6" x14ac:dyDescent="0.25">
      <c r="B893" s="20"/>
      <c r="C893" s="20"/>
      <c r="D893" s="27"/>
      <c r="E893" s="27"/>
      <c r="F893" s="27"/>
    </row>
    <row r="894" spans="2:6" x14ac:dyDescent="0.25">
      <c r="B894" s="20"/>
      <c r="C894" s="20"/>
      <c r="D894" s="27"/>
      <c r="E894" s="27"/>
      <c r="F894" s="27"/>
    </row>
    <row r="895" spans="2:6" x14ac:dyDescent="0.25">
      <c r="B895" s="20"/>
      <c r="C895" s="20"/>
      <c r="D895" s="27"/>
      <c r="E895" s="27"/>
      <c r="F895" s="27"/>
    </row>
    <row r="896" spans="2:6" x14ac:dyDescent="0.25">
      <c r="B896" s="20"/>
      <c r="C896" s="20"/>
      <c r="D896" s="27"/>
      <c r="E896" s="27"/>
      <c r="F896" s="27"/>
    </row>
    <row r="897" spans="2:6" x14ac:dyDescent="0.25">
      <c r="B897" s="20"/>
      <c r="C897" s="20"/>
      <c r="D897" s="27"/>
      <c r="E897" s="27"/>
      <c r="F897" s="27"/>
    </row>
    <row r="898" spans="2:6" x14ac:dyDescent="0.25">
      <c r="B898" s="20"/>
      <c r="C898" s="20"/>
      <c r="D898" s="27"/>
      <c r="E898" s="27"/>
      <c r="F898" s="27"/>
    </row>
    <row r="899" spans="2:6" x14ac:dyDescent="0.25">
      <c r="B899" s="20"/>
      <c r="C899" s="20"/>
      <c r="D899" s="27"/>
      <c r="E899" s="27"/>
      <c r="F899" s="27"/>
    </row>
    <row r="900" spans="2:6" x14ac:dyDescent="0.25">
      <c r="B900" s="20"/>
      <c r="C900" s="20"/>
      <c r="D900" s="27"/>
      <c r="E900" s="27"/>
      <c r="F900" s="27"/>
    </row>
    <row r="901" spans="2:6" x14ac:dyDescent="0.25">
      <c r="B901" s="20"/>
      <c r="C901" s="20"/>
      <c r="D901" s="27"/>
      <c r="E901" s="27"/>
      <c r="F901" s="27"/>
    </row>
    <row r="902" spans="2:6" x14ac:dyDescent="0.25">
      <c r="B902" s="20"/>
      <c r="C902" s="20"/>
      <c r="D902" s="27"/>
      <c r="E902" s="27"/>
      <c r="F902" s="27"/>
    </row>
    <row r="903" spans="2:6" x14ac:dyDescent="0.25">
      <c r="B903" s="20"/>
      <c r="C903" s="20"/>
      <c r="D903" s="27"/>
      <c r="E903" s="27"/>
      <c r="F903" s="27"/>
    </row>
    <row r="904" spans="2:6" x14ac:dyDescent="0.25">
      <c r="B904" s="20"/>
      <c r="C904" s="20"/>
      <c r="D904" s="27"/>
      <c r="E904" s="27"/>
      <c r="F904" s="27"/>
    </row>
    <row r="905" spans="2:6" x14ac:dyDescent="0.25">
      <c r="B905" s="20"/>
      <c r="C905" s="20"/>
      <c r="D905" s="27"/>
      <c r="E905" s="27"/>
      <c r="F905" s="27"/>
    </row>
    <row r="906" spans="2:6" x14ac:dyDescent="0.25">
      <c r="B906" s="20"/>
      <c r="C906" s="20"/>
      <c r="D906" s="27"/>
      <c r="E906" s="27"/>
      <c r="F906" s="27"/>
    </row>
    <row r="907" spans="2:6" x14ac:dyDescent="0.25">
      <c r="B907" s="20"/>
      <c r="C907" s="20"/>
      <c r="D907" s="27"/>
      <c r="E907" s="27"/>
      <c r="F907" s="27"/>
    </row>
    <row r="908" spans="2:6" x14ac:dyDescent="0.25">
      <c r="B908" s="20"/>
      <c r="C908" s="20"/>
      <c r="D908" s="27"/>
      <c r="E908" s="27"/>
      <c r="F908" s="27"/>
    </row>
    <row r="909" spans="2:6" x14ac:dyDescent="0.25">
      <c r="B909" s="20"/>
      <c r="C909" s="20"/>
      <c r="D909" s="27"/>
      <c r="E909" s="27"/>
      <c r="F909" s="27"/>
    </row>
    <row r="910" spans="2:6" x14ac:dyDescent="0.25">
      <c r="B910" s="20"/>
      <c r="C910" s="20"/>
      <c r="D910" s="27"/>
      <c r="E910" s="27"/>
      <c r="F910" s="27"/>
    </row>
    <row r="911" spans="2:6" x14ac:dyDescent="0.25">
      <c r="B911" s="20"/>
      <c r="C911" s="20"/>
      <c r="D911" s="27"/>
      <c r="E911" s="27"/>
      <c r="F911" s="27"/>
    </row>
    <row r="912" spans="2:6" x14ac:dyDescent="0.25">
      <c r="B912" s="20"/>
      <c r="C912" s="20"/>
      <c r="D912" s="27"/>
      <c r="E912" s="27"/>
      <c r="F912" s="27"/>
    </row>
    <row r="913" spans="2:6" x14ac:dyDescent="0.25">
      <c r="B913" s="20"/>
      <c r="C913" s="20"/>
      <c r="D913" s="27"/>
      <c r="E913" s="27"/>
      <c r="F913" s="27"/>
    </row>
    <row r="914" spans="2:6" x14ac:dyDescent="0.25">
      <c r="B914" s="20"/>
      <c r="C914" s="20"/>
      <c r="D914" s="27"/>
      <c r="E914" s="27"/>
      <c r="F914" s="27"/>
    </row>
    <row r="915" spans="2:6" x14ac:dyDescent="0.25">
      <c r="B915" s="20"/>
      <c r="C915" s="20"/>
      <c r="D915" s="27"/>
      <c r="E915" s="27"/>
      <c r="F915" s="27"/>
    </row>
    <row r="916" spans="2:6" x14ac:dyDescent="0.25">
      <c r="B916" s="20"/>
      <c r="C916" s="20"/>
      <c r="D916" s="27"/>
      <c r="E916" s="27"/>
      <c r="F916" s="27"/>
    </row>
    <row r="917" spans="2:6" x14ac:dyDescent="0.25">
      <c r="B917" s="20"/>
      <c r="C917" s="20"/>
      <c r="D917" s="27"/>
      <c r="E917" s="27"/>
      <c r="F917" s="27"/>
    </row>
    <row r="918" spans="2:6" x14ac:dyDescent="0.25">
      <c r="B918" s="20"/>
      <c r="C918" s="20"/>
      <c r="D918" s="27"/>
      <c r="E918" s="27"/>
      <c r="F918" s="27"/>
    </row>
    <row r="919" spans="2:6" x14ac:dyDescent="0.25">
      <c r="B919" s="20"/>
      <c r="C919" s="20"/>
      <c r="D919" s="27"/>
      <c r="E919" s="27"/>
      <c r="F919" s="27"/>
    </row>
    <row r="920" spans="2:6" x14ac:dyDescent="0.25">
      <c r="B920" s="20"/>
      <c r="C920" s="20"/>
      <c r="D920" s="27"/>
      <c r="E920" s="27"/>
      <c r="F920" s="27"/>
    </row>
    <row r="921" spans="2:6" x14ac:dyDescent="0.25">
      <c r="B921" s="20"/>
      <c r="C921" s="20"/>
      <c r="D921" s="27"/>
      <c r="E921" s="27"/>
      <c r="F921" s="27"/>
    </row>
    <row r="922" spans="2:6" x14ac:dyDescent="0.25">
      <c r="B922" s="20"/>
      <c r="C922" s="20"/>
      <c r="D922" s="27"/>
      <c r="E922" s="27"/>
      <c r="F922" s="27"/>
    </row>
    <row r="923" spans="2:6" x14ac:dyDescent="0.25">
      <c r="B923" s="20"/>
      <c r="C923" s="20"/>
      <c r="D923" s="27"/>
      <c r="E923" s="27"/>
      <c r="F923" s="27"/>
    </row>
    <row r="924" spans="2:6" x14ac:dyDescent="0.25">
      <c r="B924" s="20"/>
      <c r="C924" s="20"/>
      <c r="D924" s="27"/>
      <c r="E924" s="27"/>
      <c r="F924" s="27"/>
    </row>
    <row r="925" spans="2:6" x14ac:dyDescent="0.25">
      <c r="B925" s="20"/>
      <c r="C925" s="20"/>
      <c r="D925" s="27"/>
      <c r="E925" s="27"/>
      <c r="F925" s="27"/>
    </row>
    <row r="926" spans="2:6" x14ac:dyDescent="0.25">
      <c r="B926" s="20"/>
      <c r="C926" s="20"/>
      <c r="D926" s="27"/>
      <c r="E926" s="27"/>
      <c r="F926" s="27"/>
    </row>
    <row r="927" spans="2:6" x14ac:dyDescent="0.25">
      <c r="B927" s="20"/>
      <c r="C927" s="20"/>
      <c r="D927" s="27"/>
      <c r="E927" s="27"/>
      <c r="F927" s="27"/>
    </row>
    <row r="928" spans="2:6" x14ac:dyDescent="0.25">
      <c r="B928" s="20"/>
      <c r="C928" s="20"/>
      <c r="D928" s="27"/>
      <c r="E928" s="27"/>
      <c r="F928" s="27"/>
    </row>
    <row r="929" spans="2:6" x14ac:dyDescent="0.25">
      <c r="B929" s="20"/>
      <c r="C929" s="20"/>
      <c r="D929" s="27"/>
      <c r="E929" s="27"/>
      <c r="F929" s="27"/>
    </row>
    <row r="930" spans="2:6" x14ac:dyDescent="0.25">
      <c r="B930" s="20"/>
      <c r="C930" s="20"/>
      <c r="D930" s="27"/>
      <c r="E930" s="27"/>
      <c r="F930" s="27"/>
    </row>
    <row r="931" spans="2:6" x14ac:dyDescent="0.25">
      <c r="B931" s="20"/>
      <c r="C931" s="20"/>
      <c r="D931" s="27"/>
      <c r="E931" s="27"/>
      <c r="F931" s="27"/>
    </row>
    <row r="932" spans="2:6" x14ac:dyDescent="0.25">
      <c r="B932" s="20"/>
      <c r="C932" s="20"/>
      <c r="D932" s="27"/>
      <c r="E932" s="27"/>
      <c r="F932" s="27"/>
    </row>
    <row r="933" spans="2:6" x14ac:dyDescent="0.25">
      <c r="B933" s="20"/>
      <c r="C933" s="20"/>
      <c r="D933" s="27"/>
      <c r="E933" s="27"/>
      <c r="F933" s="27"/>
    </row>
    <row r="934" spans="2:6" x14ac:dyDescent="0.25">
      <c r="B934" s="20"/>
      <c r="C934" s="20"/>
      <c r="D934" s="27"/>
      <c r="E934" s="27"/>
      <c r="F934" s="27"/>
    </row>
    <row r="935" spans="2:6" x14ac:dyDescent="0.25">
      <c r="B935" s="20"/>
      <c r="C935" s="20"/>
      <c r="D935" s="27"/>
      <c r="E935" s="27"/>
      <c r="F935" s="27"/>
    </row>
    <row r="936" spans="2:6" x14ac:dyDescent="0.25">
      <c r="B936" s="20"/>
      <c r="C936" s="20"/>
      <c r="D936" s="27"/>
      <c r="E936" s="27"/>
      <c r="F936" s="27"/>
    </row>
    <row r="937" spans="2:6" x14ac:dyDescent="0.25">
      <c r="B937" s="20"/>
      <c r="C937" s="20"/>
      <c r="D937" s="27"/>
      <c r="E937" s="27"/>
      <c r="F937" s="27"/>
    </row>
    <row r="938" spans="2:6" x14ac:dyDescent="0.25">
      <c r="B938" s="20"/>
      <c r="C938" s="20"/>
      <c r="D938" s="27"/>
      <c r="E938" s="27"/>
      <c r="F938" s="27"/>
    </row>
    <row r="939" spans="2:6" x14ac:dyDescent="0.25">
      <c r="B939" s="20"/>
      <c r="C939" s="20"/>
      <c r="D939" s="27"/>
      <c r="E939" s="27"/>
      <c r="F939" s="27"/>
    </row>
    <row r="940" spans="2:6" x14ac:dyDescent="0.25">
      <c r="B940" s="20"/>
      <c r="C940" s="20"/>
      <c r="D940" s="27"/>
      <c r="E940" s="27"/>
      <c r="F940" s="27"/>
    </row>
    <row r="941" spans="2:6" x14ac:dyDescent="0.25">
      <c r="B941" s="20"/>
      <c r="C941" s="20"/>
      <c r="D941" s="27"/>
      <c r="E941" s="27"/>
      <c r="F941" s="27"/>
    </row>
    <row r="942" spans="2:6" x14ac:dyDescent="0.25">
      <c r="B942" s="20"/>
      <c r="C942" s="20"/>
      <c r="D942" s="27"/>
      <c r="E942" s="27"/>
      <c r="F942" s="27"/>
    </row>
    <row r="943" spans="2:6" x14ac:dyDescent="0.25">
      <c r="B943" s="20"/>
      <c r="C943" s="20"/>
      <c r="D943" s="27"/>
      <c r="E943" s="27"/>
      <c r="F943" s="27"/>
    </row>
    <row r="944" spans="2:6" x14ac:dyDescent="0.25">
      <c r="B944" s="20"/>
      <c r="C944" s="20"/>
      <c r="D944" s="27"/>
      <c r="E944" s="27"/>
      <c r="F944" s="27"/>
    </row>
    <row r="945" spans="2:6" x14ac:dyDescent="0.25">
      <c r="B945" s="20"/>
      <c r="C945" s="20"/>
      <c r="D945" s="27"/>
      <c r="E945" s="27"/>
      <c r="F945" s="27"/>
    </row>
    <row r="946" spans="2:6" x14ac:dyDescent="0.25">
      <c r="B946" s="20"/>
      <c r="C946" s="20"/>
      <c r="D946" s="27"/>
      <c r="E946" s="27"/>
      <c r="F946" s="27"/>
    </row>
    <row r="947" spans="2:6" x14ac:dyDescent="0.25">
      <c r="B947" s="20"/>
      <c r="C947" s="20"/>
      <c r="D947" s="27"/>
      <c r="E947" s="27"/>
      <c r="F947" s="27"/>
    </row>
    <row r="948" spans="2:6" x14ac:dyDescent="0.25">
      <c r="B948" s="20"/>
      <c r="C948" s="20"/>
      <c r="D948" s="27"/>
      <c r="E948" s="27"/>
      <c r="F948" s="27"/>
    </row>
    <row r="949" spans="2:6" x14ac:dyDescent="0.25">
      <c r="B949" s="20"/>
      <c r="C949" s="20"/>
      <c r="D949" s="27"/>
      <c r="E949" s="27"/>
      <c r="F949" s="27"/>
    </row>
    <row r="950" spans="2:6" x14ac:dyDescent="0.25">
      <c r="B950" s="20"/>
      <c r="C950" s="20"/>
      <c r="D950" s="27"/>
      <c r="E950" s="27"/>
      <c r="F950" s="27"/>
    </row>
    <row r="951" spans="2:6" x14ac:dyDescent="0.25">
      <c r="B951" s="20"/>
      <c r="C951" s="20"/>
      <c r="D951" s="27"/>
      <c r="E951" s="27"/>
      <c r="F951" s="27"/>
    </row>
    <row r="952" spans="2:6" x14ac:dyDescent="0.25">
      <c r="B952" s="20"/>
      <c r="C952" s="20"/>
      <c r="D952" s="27"/>
      <c r="E952" s="27"/>
      <c r="F952" s="27"/>
    </row>
    <row r="953" spans="2:6" x14ac:dyDescent="0.25">
      <c r="B953" s="20"/>
      <c r="C953" s="20"/>
      <c r="D953" s="27"/>
      <c r="E953" s="27"/>
      <c r="F953" s="27"/>
    </row>
    <row r="954" spans="2:6" x14ac:dyDescent="0.25">
      <c r="B954" s="20"/>
      <c r="C954" s="20"/>
      <c r="D954" s="27"/>
      <c r="E954" s="27"/>
      <c r="F954" s="27"/>
    </row>
    <row r="955" spans="2:6" x14ac:dyDescent="0.25">
      <c r="B955" s="20"/>
      <c r="C955" s="20"/>
      <c r="D955" s="27"/>
      <c r="E955" s="27"/>
      <c r="F955" s="27"/>
    </row>
    <row r="956" spans="2:6" x14ac:dyDescent="0.25">
      <c r="B956" s="20"/>
      <c r="C956" s="20"/>
      <c r="D956" s="27"/>
      <c r="E956" s="27"/>
      <c r="F956" s="27"/>
    </row>
    <row r="957" spans="2:6" x14ac:dyDescent="0.25">
      <c r="B957" s="20"/>
      <c r="C957" s="20"/>
      <c r="D957" s="27"/>
      <c r="E957" s="27"/>
      <c r="F957" s="27"/>
    </row>
    <row r="958" spans="2:6" x14ac:dyDescent="0.25">
      <c r="B958" s="20"/>
      <c r="C958" s="20"/>
      <c r="D958" s="27"/>
      <c r="E958" s="27"/>
      <c r="F958" s="27"/>
    </row>
    <row r="959" spans="2:6" x14ac:dyDescent="0.25">
      <c r="B959" s="20"/>
      <c r="C959" s="20"/>
      <c r="D959" s="27"/>
      <c r="E959" s="27"/>
      <c r="F959" s="27"/>
    </row>
    <row r="960" spans="2:6" x14ac:dyDescent="0.25">
      <c r="B960" s="20"/>
      <c r="C960" s="20"/>
      <c r="D960" s="27"/>
      <c r="E960" s="27"/>
      <c r="F960" s="27"/>
    </row>
    <row r="961" spans="2:6" x14ac:dyDescent="0.25">
      <c r="B961" s="20"/>
      <c r="C961" s="20"/>
      <c r="D961" s="27"/>
      <c r="E961" s="27"/>
      <c r="F961" s="27"/>
    </row>
    <row r="962" spans="2:6" x14ac:dyDescent="0.25">
      <c r="B962" s="20"/>
      <c r="C962" s="20"/>
      <c r="D962" s="27"/>
      <c r="E962" s="27"/>
      <c r="F962" s="27"/>
    </row>
    <row r="963" spans="2:6" x14ac:dyDescent="0.25">
      <c r="B963" s="20"/>
      <c r="C963" s="20"/>
      <c r="D963" s="27"/>
      <c r="E963" s="27"/>
      <c r="F963" s="27"/>
    </row>
    <row r="964" spans="2:6" x14ac:dyDescent="0.25">
      <c r="B964" s="20"/>
      <c r="C964" s="20"/>
      <c r="D964" s="27"/>
      <c r="E964" s="27"/>
      <c r="F964" s="27"/>
    </row>
    <row r="965" spans="2:6" x14ac:dyDescent="0.25">
      <c r="B965" s="20"/>
      <c r="C965" s="20"/>
      <c r="D965" s="27"/>
      <c r="E965" s="27"/>
      <c r="F965" s="27"/>
    </row>
    <row r="966" spans="2:6" x14ac:dyDescent="0.25">
      <c r="B966" s="20"/>
      <c r="C966" s="20"/>
      <c r="D966" s="27"/>
      <c r="E966" s="27"/>
      <c r="F966" s="27"/>
    </row>
    <row r="967" spans="2:6" x14ac:dyDescent="0.25">
      <c r="B967" s="20"/>
      <c r="C967" s="20"/>
      <c r="D967" s="27"/>
      <c r="E967" s="27"/>
      <c r="F967" s="27"/>
    </row>
    <row r="968" spans="2:6" x14ac:dyDescent="0.25">
      <c r="B968" s="20"/>
      <c r="C968" s="20"/>
      <c r="D968" s="27"/>
      <c r="E968" s="27"/>
      <c r="F968" s="27"/>
    </row>
    <row r="969" spans="2:6" x14ac:dyDescent="0.25">
      <c r="B969" s="20"/>
      <c r="C969" s="20"/>
      <c r="D969" s="27"/>
      <c r="E969" s="27"/>
      <c r="F969" s="27"/>
    </row>
    <row r="970" spans="2:6" x14ac:dyDescent="0.25">
      <c r="B970" s="20"/>
      <c r="C970" s="20"/>
      <c r="D970" s="27"/>
      <c r="E970" s="27"/>
      <c r="F970" s="27"/>
    </row>
    <row r="971" spans="2:6" x14ac:dyDescent="0.25">
      <c r="B971" s="20"/>
      <c r="C971" s="20"/>
      <c r="D971" s="27"/>
      <c r="E971" s="27"/>
      <c r="F971" s="27"/>
    </row>
    <row r="972" spans="2:6" x14ac:dyDescent="0.25">
      <c r="B972" s="20"/>
      <c r="C972" s="20"/>
      <c r="D972" s="27"/>
      <c r="E972" s="27"/>
      <c r="F972" s="27"/>
    </row>
    <row r="973" spans="2:6" x14ac:dyDescent="0.25">
      <c r="B973" s="20"/>
      <c r="C973" s="20"/>
      <c r="D973" s="27"/>
      <c r="E973" s="27"/>
      <c r="F973" s="27"/>
    </row>
    <row r="974" spans="2:6" x14ac:dyDescent="0.25">
      <c r="B974" s="20"/>
      <c r="C974" s="20"/>
      <c r="D974" s="27"/>
      <c r="E974" s="27"/>
      <c r="F974" s="27"/>
    </row>
    <row r="975" spans="2:6" x14ac:dyDescent="0.25">
      <c r="B975" s="20"/>
      <c r="C975" s="20"/>
      <c r="D975" s="27"/>
      <c r="E975" s="27"/>
      <c r="F975" s="27"/>
    </row>
    <row r="976" spans="2:6" x14ac:dyDescent="0.25">
      <c r="B976" s="20"/>
      <c r="C976" s="20"/>
      <c r="D976" s="27"/>
      <c r="E976" s="27"/>
      <c r="F976" s="27"/>
    </row>
    <row r="977" spans="2:6" x14ac:dyDescent="0.25">
      <c r="B977" s="20"/>
      <c r="C977" s="20"/>
      <c r="D977" s="27"/>
      <c r="E977" s="27"/>
      <c r="F977" s="27"/>
    </row>
    <row r="978" spans="2:6" x14ac:dyDescent="0.25">
      <c r="B978" s="20"/>
      <c r="C978" s="20"/>
      <c r="D978" s="27"/>
      <c r="E978" s="27"/>
      <c r="F978" s="27"/>
    </row>
    <row r="979" spans="2:6" x14ac:dyDescent="0.25">
      <c r="B979" s="20"/>
      <c r="C979" s="20"/>
      <c r="D979" s="27"/>
      <c r="E979" s="27"/>
      <c r="F979" s="27"/>
    </row>
    <row r="980" spans="2:6" x14ac:dyDescent="0.25">
      <c r="B980" s="20"/>
      <c r="C980" s="20"/>
      <c r="D980" s="27"/>
      <c r="E980" s="27"/>
      <c r="F980" s="27"/>
    </row>
    <row r="981" spans="2:6" x14ac:dyDescent="0.25">
      <c r="B981" s="20"/>
      <c r="C981" s="20"/>
      <c r="D981" s="27"/>
      <c r="E981" s="27"/>
      <c r="F981" s="27"/>
    </row>
    <row r="982" spans="2:6" x14ac:dyDescent="0.25">
      <c r="B982" s="20"/>
      <c r="C982" s="20"/>
      <c r="D982" s="27"/>
      <c r="E982" s="27"/>
      <c r="F982" s="27"/>
    </row>
    <row r="983" spans="2:6" x14ac:dyDescent="0.25">
      <c r="B983" s="20"/>
      <c r="C983" s="20"/>
      <c r="D983" s="27"/>
      <c r="E983" s="27"/>
      <c r="F983" s="27"/>
    </row>
    <row r="984" spans="2:6" x14ac:dyDescent="0.25">
      <c r="B984" s="20"/>
      <c r="C984" s="20"/>
      <c r="D984" s="27"/>
      <c r="E984" s="27"/>
      <c r="F984" s="27"/>
    </row>
    <row r="985" spans="2:6" x14ac:dyDescent="0.25">
      <c r="B985" s="20"/>
      <c r="C985" s="20"/>
      <c r="D985" s="27"/>
      <c r="E985" s="27"/>
      <c r="F985" s="27"/>
    </row>
    <row r="986" spans="2:6" x14ac:dyDescent="0.25">
      <c r="B986" s="20"/>
      <c r="C986" s="20"/>
      <c r="D986" s="27"/>
      <c r="E986" s="27"/>
      <c r="F986" s="27"/>
    </row>
    <row r="987" spans="2:6" x14ac:dyDescent="0.25">
      <c r="B987" s="20"/>
      <c r="C987" s="20"/>
      <c r="D987" s="27"/>
      <c r="E987" s="27"/>
      <c r="F987" s="27"/>
    </row>
    <row r="988" spans="2:6" x14ac:dyDescent="0.25">
      <c r="B988" s="20"/>
      <c r="C988" s="20"/>
      <c r="D988" s="27"/>
      <c r="E988" s="27"/>
      <c r="F988" s="27"/>
    </row>
    <row r="989" spans="2:6" x14ac:dyDescent="0.25">
      <c r="B989" s="20"/>
      <c r="C989" s="20"/>
      <c r="D989" s="27"/>
      <c r="E989" s="27"/>
      <c r="F989" s="27"/>
    </row>
    <row r="990" spans="2:6" x14ac:dyDescent="0.25">
      <c r="B990" s="20"/>
      <c r="C990" s="20"/>
      <c r="D990" s="27"/>
      <c r="E990" s="27"/>
      <c r="F990" s="27"/>
    </row>
    <row r="991" spans="2:6" x14ac:dyDescent="0.25">
      <c r="B991" s="20"/>
      <c r="C991" s="20"/>
      <c r="D991" s="27"/>
      <c r="E991" s="27"/>
      <c r="F991" s="27"/>
    </row>
    <row r="992" spans="2:6" x14ac:dyDescent="0.25">
      <c r="B992" s="20"/>
      <c r="C992" s="20"/>
      <c r="D992" s="27"/>
      <c r="E992" s="27"/>
      <c r="F992" s="27"/>
    </row>
    <row r="993" spans="2:6" x14ac:dyDescent="0.25">
      <c r="B993" s="20"/>
      <c r="C993" s="20"/>
      <c r="D993" s="27"/>
      <c r="E993" s="27"/>
      <c r="F993" s="27"/>
    </row>
    <row r="994" spans="2:6" x14ac:dyDescent="0.25">
      <c r="B994" s="20"/>
      <c r="C994" s="20"/>
      <c r="D994" s="27"/>
      <c r="E994" s="27"/>
      <c r="F994" s="27"/>
    </row>
    <row r="995" spans="2:6" x14ac:dyDescent="0.25">
      <c r="B995" s="20"/>
      <c r="C995" s="20"/>
      <c r="D995" s="27"/>
      <c r="E995" s="27"/>
      <c r="F995" s="27"/>
    </row>
    <row r="996" spans="2:6" x14ac:dyDescent="0.25">
      <c r="B996" s="20"/>
      <c r="C996" s="20"/>
      <c r="D996" s="27"/>
      <c r="E996" s="27"/>
      <c r="F996" s="27"/>
    </row>
    <row r="997" spans="2:6" x14ac:dyDescent="0.25">
      <c r="B997" s="20"/>
      <c r="C997" s="20"/>
      <c r="D997" s="27"/>
      <c r="E997" s="27"/>
      <c r="F997" s="27"/>
    </row>
    <row r="998" spans="2:6" x14ac:dyDescent="0.25">
      <c r="B998" s="20"/>
      <c r="C998" s="20"/>
      <c r="D998" s="27"/>
      <c r="E998" s="27"/>
      <c r="F998" s="27"/>
    </row>
    <row r="999" spans="2:6" x14ac:dyDescent="0.25">
      <c r="B999" s="20"/>
      <c r="C999" s="20"/>
      <c r="D999" s="27"/>
      <c r="E999" s="27"/>
      <c r="F999" s="27"/>
    </row>
    <row r="1000" spans="2:6" x14ac:dyDescent="0.25">
      <c r="B1000" s="20"/>
      <c r="C1000" s="20"/>
      <c r="D1000" s="27"/>
      <c r="E1000" s="27"/>
      <c r="F1000" s="27"/>
    </row>
    <row r="1001" spans="2:6" x14ac:dyDescent="0.25">
      <c r="B1001" s="20"/>
      <c r="C1001" s="20"/>
      <c r="D1001" s="27"/>
      <c r="E1001" s="27"/>
      <c r="F1001" s="27"/>
    </row>
    <row r="1002" spans="2:6" x14ac:dyDescent="0.25">
      <c r="B1002" s="20"/>
      <c r="C1002" s="20"/>
      <c r="D1002" s="27"/>
      <c r="E1002" s="27"/>
      <c r="F1002" s="27"/>
    </row>
    <row r="1003" spans="2:6" x14ac:dyDescent="0.25">
      <c r="B1003" s="20"/>
      <c r="C1003" s="20"/>
      <c r="D1003" s="27"/>
      <c r="E1003" s="27"/>
      <c r="F1003" s="27"/>
    </row>
    <row r="1004" spans="2:6" x14ac:dyDescent="0.25">
      <c r="B1004" s="20"/>
      <c r="C1004" s="20"/>
      <c r="D1004" s="27"/>
      <c r="E1004" s="27"/>
      <c r="F1004" s="27"/>
    </row>
    <row r="1005" spans="2:6" x14ac:dyDescent="0.25">
      <c r="B1005" s="20"/>
      <c r="C1005" s="20"/>
      <c r="D1005" s="27"/>
      <c r="E1005" s="27"/>
      <c r="F1005" s="27"/>
    </row>
    <row r="1006" spans="2:6" x14ac:dyDescent="0.25">
      <c r="B1006" s="20"/>
      <c r="C1006" s="20"/>
      <c r="D1006" s="27"/>
      <c r="E1006" s="27"/>
      <c r="F1006" s="27"/>
    </row>
    <row r="1007" spans="2:6" x14ac:dyDescent="0.25">
      <c r="B1007" s="20"/>
      <c r="C1007" s="20"/>
      <c r="D1007" s="27"/>
      <c r="E1007" s="27"/>
      <c r="F1007" s="27"/>
    </row>
    <row r="1008" spans="2:6" x14ac:dyDescent="0.25">
      <c r="B1008" s="20"/>
      <c r="C1008" s="20"/>
      <c r="D1008" s="27"/>
      <c r="E1008" s="27"/>
      <c r="F1008" s="27"/>
    </row>
    <row r="1009" spans="2:6" x14ac:dyDescent="0.25">
      <c r="B1009" s="20"/>
      <c r="C1009" s="20"/>
      <c r="D1009" s="27"/>
      <c r="E1009" s="27"/>
      <c r="F1009" s="27"/>
    </row>
    <row r="1010" spans="2:6" x14ac:dyDescent="0.25">
      <c r="B1010" s="20"/>
      <c r="C1010" s="20"/>
      <c r="D1010" s="27"/>
      <c r="E1010" s="27"/>
      <c r="F1010" s="27"/>
    </row>
    <row r="1011" spans="2:6" x14ac:dyDescent="0.25">
      <c r="B1011" s="20"/>
      <c r="C1011" s="20"/>
      <c r="D1011" s="27"/>
      <c r="E1011" s="27"/>
      <c r="F1011" s="27"/>
    </row>
    <row r="1012" spans="2:6" x14ac:dyDescent="0.25">
      <c r="B1012" s="20"/>
      <c r="C1012" s="20"/>
      <c r="D1012" s="27"/>
      <c r="E1012" s="27"/>
      <c r="F1012" s="27"/>
    </row>
    <row r="1013" spans="2:6" x14ac:dyDescent="0.25">
      <c r="B1013" s="20"/>
      <c r="C1013" s="20"/>
      <c r="D1013" s="27"/>
      <c r="E1013" s="27"/>
      <c r="F1013" s="27"/>
    </row>
    <row r="1014" spans="2:6" x14ac:dyDescent="0.25">
      <c r="B1014" s="20"/>
      <c r="C1014" s="20"/>
      <c r="D1014" s="27"/>
      <c r="E1014" s="27"/>
      <c r="F1014" s="27"/>
    </row>
    <row r="1015" spans="2:6" x14ac:dyDescent="0.25">
      <c r="B1015" s="20"/>
      <c r="C1015" s="20"/>
      <c r="D1015" s="27"/>
      <c r="E1015" s="27"/>
      <c r="F1015" s="27"/>
    </row>
    <row r="1016" spans="2:6" x14ac:dyDescent="0.25">
      <c r="B1016" s="20"/>
      <c r="C1016" s="20"/>
      <c r="D1016" s="27"/>
      <c r="E1016" s="27"/>
      <c r="F1016" s="27"/>
    </row>
    <row r="1017" spans="2:6" x14ac:dyDescent="0.25">
      <c r="B1017" s="20"/>
      <c r="C1017" s="20"/>
      <c r="D1017" s="27"/>
      <c r="E1017" s="27"/>
      <c r="F1017" s="27"/>
    </row>
    <row r="1018" spans="2:6" x14ac:dyDescent="0.25">
      <c r="B1018" s="20"/>
      <c r="C1018" s="20"/>
      <c r="D1018" s="27"/>
      <c r="E1018" s="27"/>
      <c r="F1018" s="27"/>
    </row>
    <row r="1019" spans="2:6" x14ac:dyDescent="0.25">
      <c r="B1019" s="20"/>
      <c r="C1019" s="20"/>
      <c r="D1019" s="27"/>
      <c r="E1019" s="27"/>
      <c r="F1019" s="27"/>
    </row>
    <row r="1020" spans="2:6" x14ac:dyDescent="0.25">
      <c r="B1020" s="20"/>
      <c r="C1020" s="20"/>
      <c r="D1020" s="27"/>
      <c r="E1020" s="27"/>
      <c r="F1020" s="27"/>
    </row>
    <row r="1021" spans="2:6" x14ac:dyDescent="0.25">
      <c r="B1021" s="20"/>
      <c r="C1021" s="20"/>
      <c r="D1021" s="27"/>
      <c r="E1021" s="27"/>
      <c r="F1021" s="27"/>
    </row>
    <row r="1022" spans="2:6" x14ac:dyDescent="0.25">
      <c r="B1022" s="20"/>
      <c r="C1022" s="20"/>
      <c r="D1022" s="27"/>
      <c r="E1022" s="27"/>
      <c r="F1022" s="27"/>
    </row>
    <row r="1023" spans="2:6" x14ac:dyDescent="0.25">
      <c r="B1023" s="20"/>
      <c r="C1023" s="20"/>
      <c r="D1023" s="27"/>
      <c r="E1023" s="27"/>
      <c r="F1023" s="27"/>
    </row>
    <row r="1024" spans="2:6" x14ac:dyDescent="0.25">
      <c r="B1024" s="20"/>
      <c r="C1024" s="20"/>
      <c r="D1024" s="27"/>
      <c r="E1024" s="27"/>
      <c r="F1024" s="27"/>
    </row>
    <row r="1025" spans="2:6" x14ac:dyDescent="0.25">
      <c r="B1025" s="20"/>
      <c r="C1025" s="20"/>
      <c r="D1025" s="27"/>
      <c r="E1025" s="27"/>
      <c r="F1025" s="27"/>
    </row>
    <row r="1026" spans="2:6" x14ac:dyDescent="0.25">
      <c r="B1026" s="20"/>
      <c r="C1026" s="20"/>
      <c r="D1026" s="27"/>
      <c r="E1026" s="27"/>
      <c r="F1026" s="27"/>
    </row>
    <row r="1027" spans="2:6" x14ac:dyDescent="0.25">
      <c r="B1027" s="20"/>
      <c r="C1027" s="20"/>
      <c r="D1027" s="27"/>
      <c r="E1027" s="27"/>
      <c r="F1027" s="27"/>
    </row>
    <row r="1028" spans="2:6" x14ac:dyDescent="0.25">
      <c r="B1028" s="20"/>
      <c r="C1028" s="20"/>
      <c r="D1028" s="27"/>
      <c r="E1028" s="27"/>
      <c r="F1028" s="27"/>
    </row>
    <row r="1029" spans="2:6" x14ac:dyDescent="0.25">
      <c r="B1029" s="20"/>
      <c r="C1029" s="20"/>
      <c r="D1029" s="27"/>
      <c r="E1029" s="27"/>
      <c r="F1029" s="27"/>
    </row>
    <row r="1030" spans="2:6" x14ac:dyDescent="0.25">
      <c r="B1030" s="20"/>
      <c r="C1030" s="20"/>
      <c r="D1030" s="27"/>
      <c r="E1030" s="27"/>
      <c r="F1030" s="27"/>
    </row>
    <row r="1031" spans="2:6" x14ac:dyDescent="0.25">
      <c r="B1031" s="20"/>
      <c r="C1031" s="20"/>
      <c r="D1031" s="27"/>
      <c r="E1031" s="27"/>
      <c r="F1031" s="27"/>
    </row>
    <row r="1032" spans="2:6" x14ac:dyDescent="0.25">
      <c r="B1032" s="20"/>
      <c r="C1032" s="20"/>
      <c r="D1032" s="27"/>
      <c r="E1032" s="27"/>
      <c r="F1032" s="27"/>
    </row>
    <row r="1033" spans="2:6" x14ac:dyDescent="0.25">
      <c r="B1033" s="20"/>
      <c r="C1033" s="20"/>
      <c r="D1033" s="27"/>
      <c r="E1033" s="27"/>
      <c r="F1033" s="27"/>
    </row>
    <row r="1034" spans="2:6" x14ac:dyDescent="0.25">
      <c r="B1034" s="20"/>
      <c r="C1034" s="20"/>
      <c r="D1034" s="27"/>
      <c r="E1034" s="27"/>
      <c r="F1034" s="27"/>
    </row>
    <row r="1035" spans="2:6" x14ac:dyDescent="0.25">
      <c r="B1035" s="20"/>
      <c r="C1035" s="20"/>
      <c r="D1035" s="27"/>
      <c r="E1035" s="27"/>
      <c r="F1035" s="27"/>
    </row>
    <row r="1036" spans="2:6" x14ac:dyDescent="0.25">
      <c r="B1036" s="20"/>
      <c r="C1036" s="20"/>
      <c r="D1036" s="27"/>
      <c r="E1036" s="27"/>
      <c r="F1036" s="27"/>
    </row>
    <row r="1037" spans="2:6" x14ac:dyDescent="0.25">
      <c r="B1037" s="20"/>
      <c r="C1037" s="20"/>
      <c r="D1037" s="27"/>
      <c r="E1037" s="27"/>
      <c r="F1037" s="27"/>
    </row>
    <row r="1038" spans="2:6" x14ac:dyDescent="0.25">
      <c r="B1038" s="20"/>
      <c r="C1038" s="20"/>
      <c r="D1038" s="27"/>
      <c r="E1038" s="27"/>
      <c r="F1038" s="27"/>
    </row>
    <row r="1039" spans="2:6" x14ac:dyDescent="0.25">
      <c r="B1039" s="20"/>
      <c r="C1039" s="20"/>
      <c r="D1039" s="27"/>
      <c r="E1039" s="27"/>
      <c r="F1039" s="27"/>
    </row>
    <row r="1040" spans="2:6" x14ac:dyDescent="0.25">
      <c r="B1040" s="20"/>
      <c r="C1040" s="20"/>
      <c r="D1040" s="27"/>
      <c r="E1040" s="27"/>
      <c r="F1040" s="27"/>
    </row>
    <row r="1041" spans="2:6" x14ac:dyDescent="0.25">
      <c r="B1041" s="20"/>
      <c r="C1041" s="20"/>
      <c r="D1041" s="27"/>
      <c r="E1041" s="27"/>
      <c r="F1041" s="27"/>
    </row>
    <row r="1042" spans="2:6" x14ac:dyDescent="0.25">
      <c r="B1042" s="20"/>
      <c r="C1042" s="20"/>
      <c r="D1042" s="27"/>
      <c r="E1042" s="27"/>
      <c r="F1042" s="27"/>
    </row>
    <row r="1043" spans="2:6" x14ac:dyDescent="0.25">
      <c r="B1043" s="20"/>
      <c r="C1043" s="20"/>
      <c r="D1043" s="27"/>
      <c r="E1043" s="27"/>
      <c r="F1043" s="27"/>
    </row>
    <row r="1044" spans="2:6" x14ac:dyDescent="0.25">
      <c r="B1044" s="20"/>
      <c r="C1044" s="20"/>
      <c r="D1044" s="27"/>
      <c r="E1044" s="27"/>
      <c r="F1044" s="27"/>
    </row>
    <row r="1045" spans="2:6" x14ac:dyDescent="0.25">
      <c r="B1045" s="20"/>
      <c r="C1045" s="20"/>
      <c r="D1045" s="27"/>
      <c r="E1045" s="27"/>
      <c r="F1045" s="27"/>
    </row>
    <row r="1046" spans="2:6" x14ac:dyDescent="0.25">
      <c r="B1046" s="20"/>
      <c r="C1046" s="20"/>
      <c r="D1046" s="27"/>
      <c r="E1046" s="27"/>
      <c r="F1046" s="27"/>
    </row>
    <row r="1047" spans="2:6" x14ac:dyDescent="0.25">
      <c r="B1047" s="20"/>
      <c r="C1047" s="20"/>
      <c r="D1047" s="27"/>
      <c r="E1047" s="27"/>
      <c r="F1047" s="27"/>
    </row>
    <row r="1048" spans="2:6" x14ac:dyDescent="0.25">
      <c r="B1048" s="20"/>
      <c r="C1048" s="20"/>
      <c r="D1048" s="27"/>
      <c r="E1048" s="27"/>
      <c r="F1048" s="27"/>
    </row>
    <row r="1049" spans="2:6" x14ac:dyDescent="0.25">
      <c r="B1049" s="20"/>
      <c r="C1049" s="20"/>
      <c r="D1049" s="27"/>
      <c r="E1049" s="27"/>
      <c r="F1049" s="27"/>
    </row>
    <row r="1050" spans="2:6" x14ac:dyDescent="0.25">
      <c r="B1050" s="20"/>
      <c r="C1050" s="20"/>
      <c r="D1050" s="27"/>
      <c r="E1050" s="27"/>
      <c r="F1050" s="27"/>
    </row>
    <row r="1051" spans="2:6" x14ac:dyDescent="0.25">
      <c r="B1051" s="20"/>
      <c r="C1051" s="20"/>
      <c r="D1051" s="27"/>
      <c r="E1051" s="27"/>
      <c r="F1051" s="27"/>
    </row>
    <row r="1052" spans="2:6" x14ac:dyDescent="0.25">
      <c r="B1052" s="20"/>
      <c r="C1052" s="20"/>
      <c r="D1052" s="27"/>
      <c r="E1052" s="27"/>
      <c r="F1052" s="27"/>
    </row>
    <row r="1053" spans="2:6" x14ac:dyDescent="0.25">
      <c r="B1053" s="20"/>
      <c r="C1053" s="20"/>
      <c r="D1053" s="27"/>
      <c r="E1053" s="27"/>
      <c r="F1053" s="27"/>
    </row>
    <row r="1054" spans="2:6" x14ac:dyDescent="0.25">
      <c r="B1054" s="20"/>
      <c r="C1054" s="20"/>
      <c r="D1054" s="27"/>
      <c r="E1054" s="27"/>
      <c r="F1054" s="27"/>
    </row>
    <row r="1055" spans="2:6" x14ac:dyDescent="0.25">
      <c r="B1055" s="20"/>
      <c r="C1055" s="20"/>
      <c r="D1055" s="27"/>
      <c r="E1055" s="27"/>
      <c r="F1055" s="27"/>
    </row>
    <row r="1056" spans="2:6" x14ac:dyDescent="0.25">
      <c r="B1056" s="20"/>
      <c r="C1056" s="20"/>
      <c r="D1056" s="27"/>
      <c r="E1056" s="27"/>
      <c r="F1056" s="27"/>
    </row>
    <row r="1057" spans="2:6" x14ac:dyDescent="0.25">
      <c r="B1057" s="20"/>
      <c r="C1057" s="20"/>
      <c r="D1057" s="27"/>
      <c r="E1057" s="27"/>
      <c r="F1057" s="27"/>
    </row>
    <row r="1058" spans="2:6" x14ac:dyDescent="0.25">
      <c r="B1058" s="20"/>
      <c r="C1058" s="20"/>
      <c r="D1058" s="27"/>
      <c r="E1058" s="27"/>
      <c r="F1058" s="27"/>
    </row>
    <row r="1059" spans="2:6" x14ac:dyDescent="0.25">
      <c r="B1059" s="20"/>
      <c r="C1059" s="20"/>
      <c r="D1059" s="27"/>
      <c r="E1059" s="27"/>
      <c r="F1059" s="27"/>
    </row>
    <row r="1060" spans="2:6" x14ac:dyDescent="0.25">
      <c r="B1060" s="20"/>
      <c r="C1060" s="20"/>
      <c r="D1060" s="27"/>
      <c r="E1060" s="27"/>
      <c r="F1060" s="27"/>
    </row>
    <row r="1061" spans="2:6" x14ac:dyDescent="0.25">
      <c r="B1061" s="20"/>
      <c r="C1061" s="20"/>
      <c r="D1061" s="27"/>
      <c r="E1061" s="27"/>
      <c r="F1061" s="27"/>
    </row>
    <row r="1062" spans="2:6" x14ac:dyDescent="0.25">
      <c r="B1062" s="20"/>
      <c r="C1062" s="20"/>
      <c r="D1062" s="27"/>
      <c r="E1062" s="27"/>
      <c r="F1062" s="27"/>
    </row>
    <row r="1063" spans="2:6" x14ac:dyDescent="0.25">
      <c r="B1063" s="20"/>
      <c r="C1063" s="20"/>
      <c r="D1063" s="27"/>
      <c r="E1063" s="27"/>
      <c r="F1063" s="27"/>
    </row>
    <row r="1064" spans="2:6" x14ac:dyDescent="0.25">
      <c r="B1064" s="20"/>
      <c r="C1064" s="20"/>
      <c r="D1064" s="27"/>
      <c r="E1064" s="27"/>
      <c r="F1064" s="27"/>
    </row>
    <row r="1065" spans="2:6" x14ac:dyDescent="0.25">
      <c r="B1065" s="20"/>
      <c r="C1065" s="20"/>
      <c r="D1065" s="27"/>
      <c r="E1065" s="27"/>
      <c r="F1065" s="27"/>
    </row>
    <row r="1066" spans="2:6" x14ac:dyDescent="0.25">
      <c r="B1066" s="20"/>
      <c r="C1066" s="20"/>
      <c r="D1066" s="27"/>
      <c r="E1066" s="27"/>
      <c r="F1066" s="27"/>
    </row>
    <row r="1067" spans="2:6" x14ac:dyDescent="0.25">
      <c r="B1067" s="20"/>
      <c r="C1067" s="20"/>
      <c r="D1067" s="27"/>
      <c r="E1067" s="27"/>
      <c r="F1067" s="27"/>
    </row>
    <row r="1068" spans="2:6" x14ac:dyDescent="0.25">
      <c r="B1068" s="20"/>
      <c r="C1068" s="20"/>
      <c r="D1068" s="27"/>
      <c r="E1068" s="27"/>
      <c r="F1068" s="27"/>
    </row>
    <row r="1069" spans="2:6" x14ac:dyDescent="0.25">
      <c r="B1069" s="20"/>
      <c r="C1069" s="20"/>
      <c r="D1069" s="27"/>
      <c r="E1069" s="27"/>
      <c r="F1069" s="27"/>
    </row>
    <row r="1070" spans="2:6" x14ac:dyDescent="0.25">
      <c r="B1070" s="20"/>
      <c r="C1070" s="20"/>
      <c r="D1070" s="27"/>
      <c r="E1070" s="27"/>
      <c r="F1070" s="27"/>
    </row>
    <row r="1071" spans="2:6" x14ac:dyDescent="0.25">
      <c r="B1071" s="20"/>
      <c r="C1071" s="20"/>
      <c r="D1071" s="27"/>
      <c r="E1071" s="27"/>
      <c r="F1071" s="27"/>
    </row>
    <row r="1072" spans="2:6" x14ac:dyDescent="0.25">
      <c r="B1072" s="20"/>
      <c r="C1072" s="20"/>
      <c r="D1072" s="27"/>
      <c r="E1072" s="27"/>
      <c r="F1072" s="27"/>
    </row>
    <row r="1073" spans="2:6" x14ac:dyDescent="0.25">
      <c r="B1073" s="20"/>
      <c r="C1073" s="20"/>
      <c r="D1073" s="27"/>
      <c r="E1073" s="27"/>
      <c r="F1073" s="27"/>
    </row>
    <row r="1074" spans="2:6" x14ac:dyDescent="0.25">
      <c r="B1074" s="20"/>
      <c r="C1074" s="20"/>
      <c r="D1074" s="27"/>
      <c r="E1074" s="27"/>
      <c r="F1074" s="27"/>
    </row>
    <row r="1075" spans="2:6" x14ac:dyDescent="0.25">
      <c r="B1075" s="20"/>
      <c r="C1075" s="20"/>
      <c r="D1075" s="27"/>
      <c r="E1075" s="27"/>
      <c r="F1075" s="27"/>
    </row>
    <row r="1076" spans="2:6" x14ac:dyDescent="0.25">
      <c r="B1076" s="20"/>
      <c r="C1076" s="20"/>
      <c r="D1076" s="27"/>
      <c r="E1076" s="27"/>
      <c r="F1076" s="27"/>
    </row>
    <row r="1077" spans="2:6" x14ac:dyDescent="0.25">
      <c r="B1077" s="20"/>
      <c r="C1077" s="20"/>
      <c r="D1077" s="27"/>
      <c r="E1077" s="27"/>
      <c r="F1077" s="27"/>
    </row>
    <row r="1078" spans="2:6" x14ac:dyDescent="0.25">
      <c r="B1078" s="20"/>
      <c r="C1078" s="20"/>
      <c r="D1078" s="27"/>
      <c r="E1078" s="27"/>
      <c r="F1078" s="27"/>
    </row>
    <row r="1079" spans="2:6" x14ac:dyDescent="0.25">
      <c r="B1079" s="20"/>
      <c r="C1079" s="20"/>
      <c r="D1079" s="27"/>
      <c r="E1079" s="27"/>
      <c r="F1079" s="27"/>
    </row>
    <row r="1080" spans="2:6" x14ac:dyDescent="0.25">
      <c r="B1080" s="20"/>
      <c r="C1080" s="20"/>
      <c r="D1080" s="27"/>
      <c r="E1080" s="27"/>
      <c r="F1080" s="27"/>
    </row>
    <row r="1081" spans="2:6" x14ac:dyDescent="0.25">
      <c r="B1081" s="20"/>
      <c r="C1081" s="20"/>
      <c r="D1081" s="27"/>
      <c r="E1081" s="27"/>
      <c r="F1081" s="27"/>
    </row>
    <row r="1082" spans="2:6" x14ac:dyDescent="0.25">
      <c r="B1082" s="20"/>
      <c r="C1082" s="20"/>
      <c r="D1082" s="27"/>
      <c r="E1082" s="27"/>
      <c r="F1082" s="27"/>
    </row>
    <row r="1083" spans="2:6" x14ac:dyDescent="0.25">
      <c r="B1083" s="20"/>
      <c r="C1083" s="20"/>
      <c r="D1083" s="27"/>
      <c r="E1083" s="27"/>
      <c r="F1083" s="27"/>
    </row>
    <row r="1084" spans="2:6" x14ac:dyDescent="0.25">
      <c r="B1084" s="20"/>
      <c r="C1084" s="20"/>
      <c r="D1084" s="27"/>
      <c r="E1084" s="27"/>
      <c r="F1084" s="27"/>
    </row>
    <row r="1085" spans="2:6" x14ac:dyDescent="0.25">
      <c r="B1085" s="20"/>
      <c r="C1085" s="20"/>
      <c r="D1085" s="27"/>
      <c r="E1085" s="27"/>
      <c r="F1085" s="27"/>
    </row>
    <row r="1086" spans="2:6" x14ac:dyDescent="0.25">
      <c r="B1086" s="20"/>
      <c r="C1086" s="20"/>
      <c r="D1086" s="27"/>
      <c r="E1086" s="27"/>
      <c r="F1086" s="27"/>
    </row>
    <row r="1087" spans="2:6" x14ac:dyDescent="0.25">
      <c r="B1087" s="20"/>
      <c r="C1087" s="20"/>
      <c r="D1087" s="27"/>
      <c r="E1087" s="27"/>
      <c r="F1087" s="27"/>
    </row>
    <row r="1088" spans="2:6" x14ac:dyDescent="0.25">
      <c r="B1088" s="20"/>
      <c r="C1088" s="20"/>
      <c r="D1088" s="27"/>
      <c r="E1088" s="27"/>
      <c r="F1088" s="27"/>
    </row>
    <row r="1089" spans="2:6" x14ac:dyDescent="0.25">
      <c r="B1089" s="20"/>
      <c r="C1089" s="20"/>
      <c r="D1089" s="27"/>
      <c r="E1089" s="27"/>
      <c r="F1089" s="27"/>
    </row>
    <row r="1090" spans="2:6" x14ac:dyDescent="0.25">
      <c r="B1090" s="20"/>
      <c r="C1090" s="20"/>
      <c r="D1090" s="27"/>
      <c r="E1090" s="27"/>
      <c r="F1090" s="27"/>
    </row>
    <row r="1091" spans="2:6" x14ac:dyDescent="0.25">
      <c r="B1091" s="20"/>
      <c r="C1091" s="20"/>
      <c r="D1091" s="27"/>
      <c r="E1091" s="27"/>
      <c r="F1091" s="27"/>
    </row>
    <row r="1092" spans="2:6" x14ac:dyDescent="0.25">
      <c r="B1092" s="20"/>
      <c r="C1092" s="20"/>
      <c r="D1092" s="27"/>
      <c r="E1092" s="27"/>
      <c r="F1092" s="27"/>
    </row>
    <row r="1093" spans="2:6" x14ac:dyDescent="0.25">
      <c r="B1093" s="20"/>
      <c r="C1093" s="20"/>
      <c r="D1093" s="27"/>
      <c r="E1093" s="27"/>
      <c r="F1093" s="27"/>
    </row>
    <row r="1094" spans="2:6" x14ac:dyDescent="0.25">
      <c r="B1094" s="20"/>
      <c r="C1094" s="20"/>
      <c r="D1094" s="27"/>
      <c r="E1094" s="27"/>
      <c r="F1094" s="27"/>
    </row>
    <row r="1095" spans="2:6" x14ac:dyDescent="0.25">
      <c r="B1095" s="20"/>
      <c r="C1095" s="20"/>
      <c r="D1095" s="27"/>
      <c r="E1095" s="27"/>
      <c r="F1095" s="27"/>
    </row>
    <row r="1096" spans="2:6" x14ac:dyDescent="0.25">
      <c r="B1096" s="20"/>
      <c r="C1096" s="20"/>
      <c r="D1096" s="27"/>
      <c r="E1096" s="27"/>
      <c r="F1096" s="27"/>
    </row>
    <row r="1097" spans="2:6" x14ac:dyDescent="0.25">
      <c r="B1097" s="20"/>
      <c r="C1097" s="20"/>
      <c r="D1097" s="27"/>
      <c r="E1097" s="27"/>
      <c r="F1097" s="27"/>
    </row>
    <row r="1098" spans="2:6" x14ac:dyDescent="0.25">
      <c r="B1098" s="20"/>
      <c r="C1098" s="20"/>
      <c r="D1098" s="27"/>
      <c r="E1098" s="27"/>
      <c r="F1098" s="27"/>
    </row>
    <row r="1099" spans="2:6" x14ac:dyDescent="0.25">
      <c r="B1099" s="20"/>
      <c r="C1099" s="20"/>
      <c r="D1099" s="27"/>
      <c r="E1099" s="27"/>
      <c r="F1099" s="27"/>
    </row>
    <row r="1100" spans="2:6" x14ac:dyDescent="0.25">
      <c r="B1100" s="20"/>
      <c r="C1100" s="20"/>
      <c r="D1100" s="27"/>
      <c r="E1100" s="27"/>
      <c r="F1100" s="27"/>
    </row>
    <row r="1101" spans="2:6" x14ac:dyDescent="0.25">
      <c r="B1101" s="20"/>
      <c r="C1101" s="20"/>
      <c r="D1101" s="27"/>
      <c r="E1101" s="27"/>
      <c r="F1101" s="27"/>
    </row>
    <row r="1102" spans="2:6" x14ac:dyDescent="0.25">
      <c r="B1102" s="20"/>
      <c r="C1102" s="20"/>
      <c r="D1102" s="27"/>
      <c r="E1102" s="27"/>
      <c r="F1102" s="27"/>
    </row>
    <row r="1103" spans="2:6" x14ac:dyDescent="0.25">
      <c r="B1103" s="20"/>
      <c r="C1103" s="20"/>
      <c r="D1103" s="27"/>
      <c r="E1103" s="27"/>
      <c r="F1103" s="27"/>
    </row>
    <row r="1104" spans="2:6" x14ac:dyDescent="0.25">
      <c r="B1104" s="20"/>
      <c r="C1104" s="20"/>
      <c r="D1104" s="27"/>
      <c r="E1104" s="27"/>
      <c r="F1104" s="27"/>
    </row>
    <row r="1105" spans="2:6" x14ac:dyDescent="0.25">
      <c r="B1105" s="20"/>
      <c r="C1105" s="20"/>
      <c r="D1105" s="27"/>
      <c r="E1105" s="27"/>
      <c r="F1105" s="27"/>
    </row>
    <row r="1106" spans="2:6" x14ac:dyDescent="0.25">
      <c r="B1106" s="20"/>
      <c r="C1106" s="20"/>
      <c r="D1106" s="27"/>
      <c r="E1106" s="27"/>
      <c r="F1106" s="27"/>
    </row>
    <row r="1107" spans="2:6" x14ac:dyDescent="0.25">
      <c r="B1107" s="20"/>
      <c r="C1107" s="20"/>
      <c r="D1107" s="27"/>
      <c r="E1107" s="27"/>
      <c r="F1107" s="27"/>
    </row>
    <row r="1108" spans="2:6" x14ac:dyDescent="0.25">
      <c r="B1108" s="20"/>
      <c r="C1108" s="20"/>
      <c r="D1108" s="27"/>
      <c r="E1108" s="27"/>
      <c r="F1108" s="27"/>
    </row>
    <row r="1109" spans="2:6" x14ac:dyDescent="0.25">
      <c r="B1109" s="20"/>
      <c r="C1109" s="20"/>
      <c r="D1109" s="27"/>
      <c r="E1109" s="27"/>
      <c r="F1109" s="27"/>
    </row>
    <row r="1110" spans="2:6" x14ac:dyDescent="0.25">
      <c r="B1110" s="20"/>
      <c r="C1110" s="20"/>
      <c r="D1110" s="27"/>
      <c r="E1110" s="27"/>
      <c r="F1110" s="27"/>
    </row>
    <row r="1111" spans="2:6" x14ac:dyDescent="0.25">
      <c r="B1111" s="20"/>
      <c r="C1111" s="20"/>
      <c r="D1111" s="27"/>
      <c r="E1111" s="27"/>
      <c r="F1111" s="27"/>
    </row>
    <row r="1112" spans="2:6" x14ac:dyDescent="0.25">
      <c r="B1112" s="20"/>
      <c r="C1112" s="20"/>
      <c r="D1112" s="27"/>
      <c r="E1112" s="27"/>
      <c r="F1112" s="27"/>
    </row>
    <row r="1113" spans="2:6" x14ac:dyDescent="0.25">
      <c r="B1113" s="20"/>
      <c r="C1113" s="20"/>
      <c r="D1113" s="27"/>
      <c r="E1113" s="27"/>
      <c r="F1113" s="27"/>
    </row>
    <row r="1114" spans="2:6" x14ac:dyDescent="0.25">
      <c r="B1114" s="20"/>
      <c r="C1114" s="20"/>
      <c r="D1114" s="27"/>
      <c r="E1114" s="27"/>
      <c r="F1114" s="27"/>
    </row>
    <row r="1115" spans="2:6" x14ac:dyDescent="0.25">
      <c r="B1115" s="20"/>
      <c r="C1115" s="20"/>
      <c r="D1115" s="27"/>
      <c r="E1115" s="27"/>
      <c r="F1115" s="27"/>
    </row>
    <row r="1116" spans="2:6" x14ac:dyDescent="0.25">
      <c r="B1116" s="20"/>
      <c r="C1116" s="20"/>
      <c r="D1116" s="27"/>
      <c r="E1116" s="27"/>
      <c r="F1116" s="27"/>
    </row>
    <row r="1117" spans="2:6" x14ac:dyDescent="0.25">
      <c r="B1117" s="20"/>
      <c r="C1117" s="20"/>
      <c r="D1117" s="27"/>
      <c r="E1117" s="27"/>
      <c r="F1117" s="27"/>
    </row>
    <row r="1118" spans="2:6" x14ac:dyDescent="0.25">
      <c r="B1118" s="20"/>
      <c r="C1118" s="20"/>
      <c r="D1118" s="27"/>
      <c r="E1118" s="27"/>
      <c r="F1118" s="27"/>
    </row>
    <row r="1119" spans="2:6" x14ac:dyDescent="0.25">
      <c r="B1119" s="20"/>
      <c r="C1119" s="20"/>
      <c r="D1119" s="27"/>
      <c r="E1119" s="27"/>
      <c r="F1119" s="27"/>
    </row>
    <row r="1120" spans="2:6" x14ac:dyDescent="0.25">
      <c r="B1120" s="20"/>
      <c r="C1120" s="20"/>
      <c r="D1120" s="27"/>
      <c r="E1120" s="27"/>
      <c r="F1120" s="27"/>
    </row>
    <row r="1121" spans="2:6" x14ac:dyDescent="0.25">
      <c r="B1121" s="20"/>
      <c r="C1121" s="20"/>
      <c r="D1121" s="27"/>
      <c r="E1121" s="27"/>
      <c r="F1121" s="27"/>
    </row>
    <row r="1122" spans="2:6" x14ac:dyDescent="0.25">
      <c r="B1122" s="20"/>
      <c r="C1122" s="20"/>
      <c r="D1122" s="27"/>
      <c r="E1122" s="27"/>
      <c r="F1122" s="27"/>
    </row>
    <row r="1123" spans="2:6" x14ac:dyDescent="0.25">
      <c r="B1123" s="20"/>
      <c r="C1123" s="20"/>
      <c r="D1123" s="27"/>
      <c r="E1123" s="27"/>
      <c r="F1123" s="27"/>
    </row>
    <row r="1124" spans="2:6" x14ac:dyDescent="0.25">
      <c r="B1124" s="20"/>
      <c r="C1124" s="20"/>
      <c r="D1124" s="27"/>
      <c r="E1124" s="27"/>
      <c r="F1124" s="27"/>
    </row>
    <row r="1125" spans="2:6" x14ac:dyDescent="0.25">
      <c r="B1125" s="20"/>
      <c r="C1125" s="20"/>
      <c r="D1125" s="27"/>
      <c r="E1125" s="27"/>
      <c r="F1125" s="27"/>
    </row>
    <row r="1126" spans="2:6" x14ac:dyDescent="0.25">
      <c r="B1126" s="20"/>
      <c r="C1126" s="20"/>
      <c r="D1126" s="27"/>
      <c r="E1126" s="27"/>
      <c r="F1126" s="27"/>
    </row>
    <row r="1127" spans="2:6" x14ac:dyDescent="0.25">
      <c r="B1127" s="20"/>
      <c r="C1127" s="20"/>
      <c r="D1127" s="27"/>
      <c r="E1127" s="27"/>
      <c r="F1127" s="27"/>
    </row>
    <row r="1128" spans="2:6" x14ac:dyDescent="0.25">
      <c r="B1128" s="20"/>
      <c r="C1128" s="20"/>
      <c r="D1128" s="27"/>
      <c r="E1128" s="27"/>
      <c r="F1128" s="27"/>
    </row>
    <row r="1129" spans="2:6" x14ac:dyDescent="0.25">
      <c r="B1129" s="20"/>
      <c r="C1129" s="20"/>
      <c r="D1129" s="27"/>
      <c r="E1129" s="27"/>
      <c r="F1129" s="27"/>
    </row>
    <row r="1130" spans="2:6" x14ac:dyDescent="0.25">
      <c r="B1130" s="20"/>
      <c r="C1130" s="20"/>
      <c r="D1130" s="27"/>
      <c r="E1130" s="27"/>
      <c r="F1130" s="27"/>
    </row>
    <row r="1131" spans="2:6" x14ac:dyDescent="0.25">
      <c r="B1131" s="20"/>
      <c r="C1131" s="20"/>
      <c r="D1131" s="27"/>
      <c r="E1131" s="27"/>
      <c r="F1131" s="27"/>
    </row>
    <row r="1132" spans="2:6" x14ac:dyDescent="0.25">
      <c r="B1132" s="20"/>
      <c r="C1132" s="20"/>
      <c r="D1132" s="27"/>
      <c r="E1132" s="27"/>
      <c r="F1132" s="27"/>
    </row>
    <row r="1133" spans="2:6" x14ac:dyDescent="0.25">
      <c r="B1133" s="20"/>
      <c r="C1133" s="20"/>
      <c r="D1133" s="27"/>
      <c r="E1133" s="27"/>
      <c r="F1133" s="27"/>
    </row>
    <row r="1134" spans="2:6" x14ac:dyDescent="0.25">
      <c r="B1134" s="20"/>
      <c r="C1134" s="20"/>
      <c r="D1134" s="27"/>
      <c r="E1134" s="27"/>
      <c r="F1134" s="27"/>
    </row>
    <row r="1135" spans="2:6" x14ac:dyDescent="0.25">
      <c r="B1135" s="20"/>
      <c r="C1135" s="20"/>
      <c r="D1135" s="27"/>
      <c r="E1135" s="27"/>
      <c r="F1135" s="27"/>
    </row>
    <row r="1136" spans="2:6" x14ac:dyDescent="0.25">
      <c r="B1136" s="20"/>
      <c r="C1136" s="20"/>
      <c r="D1136" s="27"/>
      <c r="E1136" s="27"/>
      <c r="F1136" s="27"/>
    </row>
    <row r="1137" spans="2:6" x14ac:dyDescent="0.25">
      <c r="B1137" s="20"/>
      <c r="C1137" s="20"/>
      <c r="D1137" s="27"/>
      <c r="E1137" s="27"/>
      <c r="F1137" s="27"/>
    </row>
    <row r="1138" spans="2:6" x14ac:dyDescent="0.25">
      <c r="B1138" s="20"/>
      <c r="C1138" s="20"/>
      <c r="D1138" s="27"/>
      <c r="E1138" s="27"/>
      <c r="F1138" s="27"/>
    </row>
    <row r="1139" spans="2:6" x14ac:dyDescent="0.25">
      <c r="B1139" s="20"/>
      <c r="C1139" s="20"/>
      <c r="D1139" s="27"/>
      <c r="E1139" s="27"/>
      <c r="F1139" s="27"/>
    </row>
    <row r="1140" spans="2:6" x14ac:dyDescent="0.25">
      <c r="B1140" s="20"/>
      <c r="C1140" s="20"/>
      <c r="D1140" s="27"/>
      <c r="E1140" s="27"/>
      <c r="F1140" s="27"/>
    </row>
    <row r="1141" spans="2:6" x14ac:dyDescent="0.25">
      <c r="B1141" s="20"/>
      <c r="C1141" s="20"/>
      <c r="D1141" s="27"/>
      <c r="E1141" s="27"/>
      <c r="F1141" s="27"/>
    </row>
    <row r="1142" spans="2:6" x14ac:dyDescent="0.25">
      <c r="B1142" s="20"/>
      <c r="C1142" s="20"/>
      <c r="D1142" s="27"/>
      <c r="E1142" s="27"/>
      <c r="F1142" s="27"/>
    </row>
    <row r="1143" spans="2:6" x14ac:dyDescent="0.25">
      <c r="B1143" s="20"/>
      <c r="C1143" s="20"/>
      <c r="D1143" s="27"/>
      <c r="E1143" s="27"/>
      <c r="F1143" s="27"/>
    </row>
    <row r="1144" spans="2:6" x14ac:dyDescent="0.25">
      <c r="B1144" s="20"/>
      <c r="C1144" s="20"/>
      <c r="D1144" s="27"/>
      <c r="E1144" s="27"/>
      <c r="F1144" s="27"/>
    </row>
    <row r="1145" spans="2:6" x14ac:dyDescent="0.25">
      <c r="B1145" s="20"/>
      <c r="C1145" s="20"/>
      <c r="D1145" s="27"/>
      <c r="E1145" s="27"/>
      <c r="F1145" s="27"/>
    </row>
    <row r="1146" spans="2:6" x14ac:dyDescent="0.25">
      <c r="B1146" s="20"/>
      <c r="C1146" s="20"/>
      <c r="D1146" s="27"/>
      <c r="E1146" s="27"/>
      <c r="F1146" s="27"/>
    </row>
    <row r="1147" spans="2:6" x14ac:dyDescent="0.25">
      <c r="B1147" s="20"/>
      <c r="C1147" s="20"/>
      <c r="D1147" s="27"/>
      <c r="E1147" s="27"/>
      <c r="F1147" s="27"/>
    </row>
    <row r="1148" spans="2:6" x14ac:dyDescent="0.25">
      <c r="B1148" s="20"/>
      <c r="C1148" s="20"/>
      <c r="D1148" s="27"/>
      <c r="E1148" s="27"/>
      <c r="F1148" s="27"/>
    </row>
    <row r="1149" spans="2:6" x14ac:dyDescent="0.25">
      <c r="B1149" s="20"/>
      <c r="C1149" s="20"/>
      <c r="D1149" s="27"/>
      <c r="E1149" s="27"/>
      <c r="F1149" s="27"/>
    </row>
    <row r="1150" spans="2:6" x14ac:dyDescent="0.25">
      <c r="B1150" s="20"/>
      <c r="C1150" s="20"/>
      <c r="D1150" s="27"/>
      <c r="E1150" s="27"/>
      <c r="F1150" s="27"/>
    </row>
    <row r="1151" spans="2:6" x14ac:dyDescent="0.25">
      <c r="B1151" s="20"/>
      <c r="C1151" s="20"/>
      <c r="D1151" s="27"/>
      <c r="E1151" s="27"/>
      <c r="F1151" s="27"/>
    </row>
    <row r="1152" spans="2:6" x14ac:dyDescent="0.25">
      <c r="B1152" s="20"/>
      <c r="C1152" s="20"/>
      <c r="D1152" s="27"/>
      <c r="E1152" s="27"/>
      <c r="F1152" s="27"/>
    </row>
    <row r="1153" spans="2:6" x14ac:dyDescent="0.25">
      <c r="B1153" s="20"/>
      <c r="C1153" s="20"/>
      <c r="D1153" s="27"/>
      <c r="E1153" s="27"/>
      <c r="F1153" s="27"/>
    </row>
    <row r="1154" spans="2:6" x14ac:dyDescent="0.25">
      <c r="B1154" s="20"/>
      <c r="C1154" s="20"/>
      <c r="D1154" s="27"/>
      <c r="E1154" s="27"/>
      <c r="F1154" s="27"/>
    </row>
    <row r="1155" spans="2:6" x14ac:dyDescent="0.25">
      <c r="B1155" s="20"/>
      <c r="C1155" s="20"/>
      <c r="D1155" s="27"/>
      <c r="E1155" s="27"/>
      <c r="F1155" s="27"/>
    </row>
    <row r="1156" spans="2:6" x14ac:dyDescent="0.25">
      <c r="B1156" s="20"/>
      <c r="C1156" s="20"/>
      <c r="D1156" s="27"/>
      <c r="E1156" s="27"/>
      <c r="F1156" s="27"/>
    </row>
    <row r="1157" spans="2:6" x14ac:dyDescent="0.25">
      <c r="B1157" s="20"/>
      <c r="C1157" s="20"/>
      <c r="D1157" s="27"/>
      <c r="E1157" s="27"/>
      <c r="F1157" s="27"/>
    </row>
    <row r="1158" spans="2:6" x14ac:dyDescent="0.25">
      <c r="B1158" s="20"/>
      <c r="C1158" s="20"/>
      <c r="D1158" s="27"/>
      <c r="E1158" s="27"/>
      <c r="F1158" s="27"/>
    </row>
    <row r="1159" spans="2:6" x14ac:dyDescent="0.25">
      <c r="B1159" s="20"/>
      <c r="C1159" s="20"/>
      <c r="D1159" s="27"/>
      <c r="E1159" s="27"/>
      <c r="F1159" s="27"/>
    </row>
    <row r="1160" spans="2:6" x14ac:dyDescent="0.25">
      <c r="B1160" s="20"/>
      <c r="C1160" s="20"/>
      <c r="D1160" s="27"/>
      <c r="E1160" s="27"/>
      <c r="F1160" s="27"/>
    </row>
    <row r="1161" spans="2:6" x14ac:dyDescent="0.25">
      <c r="B1161" s="20"/>
      <c r="C1161" s="20"/>
      <c r="D1161" s="27"/>
      <c r="E1161" s="27"/>
      <c r="F1161" s="27"/>
    </row>
    <row r="1162" spans="2:6" x14ac:dyDescent="0.25">
      <c r="B1162" s="20"/>
      <c r="C1162" s="20"/>
      <c r="D1162" s="27"/>
      <c r="E1162" s="27"/>
      <c r="F1162" s="27"/>
    </row>
    <row r="1163" spans="2:6" x14ac:dyDescent="0.25">
      <c r="B1163" s="20"/>
      <c r="C1163" s="20"/>
      <c r="D1163" s="27"/>
      <c r="E1163" s="27"/>
      <c r="F1163" s="27"/>
    </row>
    <row r="1164" spans="2:6" x14ac:dyDescent="0.25">
      <c r="B1164" s="20"/>
      <c r="C1164" s="20"/>
      <c r="D1164" s="27"/>
      <c r="E1164" s="27"/>
      <c r="F1164" s="27"/>
    </row>
    <row r="1165" spans="2:6" x14ac:dyDescent="0.25">
      <c r="B1165" s="20"/>
      <c r="C1165" s="20"/>
      <c r="D1165" s="27"/>
      <c r="E1165" s="27"/>
      <c r="F1165" s="27"/>
    </row>
    <row r="1166" spans="2:6" x14ac:dyDescent="0.25">
      <c r="B1166" s="20"/>
      <c r="C1166" s="20"/>
      <c r="D1166" s="27"/>
      <c r="E1166" s="27"/>
      <c r="F1166" s="27"/>
    </row>
    <row r="1167" spans="2:6" x14ac:dyDescent="0.25">
      <c r="B1167" s="20"/>
      <c r="C1167" s="20"/>
      <c r="D1167" s="27"/>
      <c r="E1167" s="27"/>
      <c r="F1167" s="27"/>
    </row>
    <row r="1168" spans="2:6" x14ac:dyDescent="0.25">
      <c r="B1168" s="20"/>
      <c r="C1168" s="20"/>
      <c r="D1168" s="27"/>
      <c r="E1168" s="27"/>
      <c r="F1168" s="27"/>
    </row>
    <row r="1169" spans="2:6" x14ac:dyDescent="0.25">
      <c r="B1169" s="20"/>
      <c r="C1169" s="20"/>
      <c r="D1169" s="27"/>
      <c r="E1169" s="27"/>
      <c r="F1169" s="27"/>
    </row>
    <row r="1170" spans="2:6" x14ac:dyDescent="0.25">
      <c r="B1170" s="20"/>
      <c r="C1170" s="20"/>
      <c r="D1170" s="27"/>
      <c r="E1170" s="27"/>
      <c r="F1170" s="27"/>
    </row>
    <row r="1171" spans="2:6" x14ac:dyDescent="0.25">
      <c r="B1171" s="20"/>
      <c r="C1171" s="20"/>
      <c r="D1171" s="27"/>
      <c r="E1171" s="27"/>
      <c r="F1171" s="27"/>
    </row>
    <row r="1172" spans="2:6" x14ac:dyDescent="0.25">
      <c r="B1172" s="20"/>
      <c r="C1172" s="20"/>
      <c r="D1172" s="27"/>
      <c r="E1172" s="27"/>
      <c r="F1172" s="27"/>
    </row>
    <row r="1173" spans="2:6" x14ac:dyDescent="0.25">
      <c r="B1173" s="20"/>
      <c r="C1173" s="20"/>
      <c r="D1173" s="27"/>
      <c r="E1173" s="27"/>
      <c r="F1173" s="27"/>
    </row>
    <row r="1174" spans="2:6" x14ac:dyDescent="0.25">
      <c r="B1174" s="20"/>
      <c r="C1174" s="20"/>
      <c r="D1174" s="27"/>
      <c r="E1174" s="27"/>
      <c r="F1174" s="27"/>
    </row>
    <row r="1175" spans="2:6" x14ac:dyDescent="0.25">
      <c r="B1175" s="20"/>
      <c r="C1175" s="20"/>
      <c r="D1175" s="27"/>
      <c r="E1175" s="27"/>
      <c r="F1175" s="27"/>
    </row>
    <row r="1176" spans="2:6" x14ac:dyDescent="0.25">
      <c r="B1176" s="20"/>
      <c r="C1176" s="20"/>
      <c r="D1176" s="27"/>
      <c r="E1176" s="27"/>
      <c r="F1176" s="27"/>
    </row>
    <row r="1177" spans="2:6" x14ac:dyDescent="0.25">
      <c r="B1177" s="20"/>
      <c r="C1177" s="20"/>
      <c r="D1177" s="27"/>
      <c r="E1177" s="27"/>
      <c r="F1177" s="27"/>
    </row>
    <row r="1178" spans="2:6" x14ac:dyDescent="0.25">
      <c r="B1178" s="20"/>
      <c r="C1178" s="20"/>
      <c r="D1178" s="27"/>
      <c r="E1178" s="27"/>
      <c r="F1178" s="27"/>
    </row>
    <row r="1179" spans="2:6" x14ac:dyDescent="0.25">
      <c r="B1179" s="20"/>
      <c r="C1179" s="20"/>
      <c r="D1179" s="27"/>
      <c r="E1179" s="27"/>
      <c r="F1179" s="27"/>
    </row>
    <row r="1180" spans="2:6" x14ac:dyDescent="0.25">
      <c r="B1180" s="20"/>
      <c r="C1180" s="20"/>
      <c r="D1180" s="27"/>
      <c r="E1180" s="27"/>
      <c r="F1180" s="27"/>
    </row>
    <row r="1181" spans="2:6" x14ac:dyDescent="0.25">
      <c r="B1181" s="20"/>
      <c r="C1181" s="20"/>
      <c r="D1181" s="27"/>
      <c r="E1181" s="27"/>
      <c r="F1181" s="27"/>
    </row>
    <row r="1182" spans="2:6" x14ac:dyDescent="0.25">
      <c r="B1182" s="20"/>
      <c r="C1182" s="20"/>
      <c r="D1182" s="27"/>
      <c r="E1182" s="27"/>
      <c r="F1182" s="27"/>
    </row>
    <row r="1183" spans="2:6" x14ac:dyDescent="0.25">
      <c r="B1183" s="20"/>
      <c r="C1183" s="20"/>
      <c r="D1183" s="27"/>
      <c r="E1183" s="27"/>
      <c r="F1183" s="27"/>
    </row>
    <row r="1184" spans="2:6" x14ac:dyDescent="0.25">
      <c r="B1184" s="20"/>
      <c r="C1184" s="20"/>
      <c r="D1184" s="27"/>
      <c r="E1184" s="27"/>
      <c r="F1184" s="27"/>
    </row>
    <row r="1185" spans="2:6" x14ac:dyDescent="0.25">
      <c r="B1185" s="20"/>
      <c r="C1185" s="20"/>
      <c r="D1185" s="27"/>
      <c r="E1185" s="27"/>
      <c r="F1185" s="27"/>
    </row>
    <row r="1186" spans="2:6" x14ac:dyDescent="0.25">
      <c r="B1186" s="20"/>
      <c r="C1186" s="20"/>
      <c r="D1186" s="27"/>
      <c r="E1186" s="27"/>
      <c r="F1186" s="27"/>
    </row>
    <row r="1187" spans="2:6" x14ac:dyDescent="0.25">
      <c r="B1187" s="20"/>
      <c r="C1187" s="20"/>
      <c r="D1187" s="27"/>
      <c r="E1187" s="27"/>
      <c r="F1187" s="27"/>
    </row>
    <row r="1188" spans="2:6" x14ac:dyDescent="0.25">
      <c r="B1188" s="20"/>
      <c r="C1188" s="20"/>
      <c r="D1188" s="27"/>
      <c r="E1188" s="27"/>
      <c r="F1188" s="27"/>
    </row>
    <row r="1189" spans="2:6" x14ac:dyDescent="0.25">
      <c r="B1189" s="20"/>
      <c r="C1189" s="20"/>
      <c r="D1189" s="27"/>
      <c r="E1189" s="27"/>
      <c r="F1189" s="27"/>
    </row>
    <row r="1190" spans="2:6" x14ac:dyDescent="0.25">
      <c r="B1190" s="20"/>
      <c r="C1190" s="20"/>
      <c r="D1190" s="27"/>
      <c r="E1190" s="27"/>
      <c r="F1190" s="27"/>
    </row>
    <row r="1191" spans="2:6" x14ac:dyDescent="0.25">
      <c r="B1191" s="20"/>
      <c r="C1191" s="20"/>
      <c r="D1191" s="27"/>
      <c r="E1191" s="27"/>
      <c r="F1191" s="27"/>
    </row>
    <row r="1192" spans="2:6" x14ac:dyDescent="0.25">
      <c r="B1192" s="20"/>
      <c r="C1192" s="20"/>
      <c r="D1192" s="27"/>
      <c r="E1192" s="27"/>
      <c r="F1192" s="27"/>
    </row>
    <row r="1193" spans="2:6" x14ac:dyDescent="0.25">
      <c r="B1193" s="20"/>
      <c r="C1193" s="20"/>
      <c r="D1193" s="27"/>
      <c r="E1193" s="27"/>
      <c r="F1193" s="27"/>
    </row>
    <row r="1194" spans="2:6" x14ac:dyDescent="0.25">
      <c r="B1194" s="20"/>
      <c r="C1194" s="20"/>
      <c r="D1194" s="27"/>
      <c r="E1194" s="27"/>
      <c r="F1194" s="27"/>
    </row>
    <row r="1195" spans="2:6" x14ac:dyDescent="0.25">
      <c r="B1195" s="20"/>
      <c r="C1195" s="20"/>
      <c r="D1195" s="27"/>
      <c r="E1195" s="27"/>
      <c r="F1195" s="27"/>
    </row>
    <row r="1196" spans="2:6" x14ac:dyDescent="0.25">
      <c r="B1196" s="20"/>
      <c r="C1196" s="20"/>
      <c r="D1196" s="27"/>
      <c r="E1196" s="27"/>
      <c r="F1196" s="27"/>
    </row>
    <row r="1197" spans="2:6" x14ac:dyDescent="0.25">
      <c r="B1197" s="20"/>
      <c r="C1197" s="20"/>
      <c r="D1197" s="27"/>
      <c r="E1197" s="27"/>
      <c r="F1197" s="27"/>
    </row>
    <row r="1198" spans="2:6" x14ac:dyDescent="0.25">
      <c r="B1198" s="20"/>
      <c r="C1198" s="20"/>
      <c r="D1198" s="27"/>
      <c r="E1198" s="27"/>
      <c r="F1198" s="27"/>
    </row>
    <row r="1199" spans="2:6" x14ac:dyDescent="0.25">
      <c r="B1199" s="20"/>
      <c r="C1199" s="20"/>
      <c r="D1199" s="27"/>
      <c r="E1199" s="27"/>
      <c r="F1199" s="27"/>
    </row>
    <row r="1200" spans="2:6" x14ac:dyDescent="0.25">
      <c r="B1200" s="20"/>
      <c r="C1200" s="20"/>
      <c r="D1200" s="27"/>
      <c r="E1200" s="27"/>
      <c r="F1200" s="27"/>
    </row>
    <row r="1201" spans="2:6" x14ac:dyDescent="0.25">
      <c r="B1201" s="20"/>
      <c r="C1201" s="20"/>
      <c r="D1201" s="27"/>
      <c r="E1201" s="27"/>
      <c r="F1201" s="27"/>
    </row>
    <row r="1202" spans="2:6" x14ac:dyDescent="0.25">
      <c r="B1202" s="20"/>
      <c r="C1202" s="20"/>
      <c r="D1202" s="27"/>
      <c r="E1202" s="27"/>
      <c r="F1202" s="27"/>
    </row>
    <row r="1203" spans="2:6" x14ac:dyDescent="0.25">
      <c r="B1203" s="20"/>
      <c r="C1203" s="20"/>
      <c r="D1203" s="27"/>
      <c r="E1203" s="27"/>
      <c r="F1203" s="27"/>
    </row>
    <row r="1204" spans="2:6" x14ac:dyDescent="0.25">
      <c r="B1204" s="20"/>
      <c r="C1204" s="20"/>
      <c r="D1204" s="27"/>
      <c r="E1204" s="27"/>
      <c r="F1204" s="27"/>
    </row>
    <row r="1205" spans="2:6" x14ac:dyDescent="0.25">
      <c r="B1205" s="20"/>
      <c r="C1205" s="20"/>
      <c r="D1205" s="27"/>
      <c r="E1205" s="27"/>
      <c r="F1205" s="27"/>
    </row>
    <row r="1206" spans="2:6" x14ac:dyDescent="0.25">
      <c r="B1206" s="20"/>
      <c r="C1206" s="20"/>
      <c r="D1206" s="27"/>
      <c r="E1206" s="27"/>
      <c r="F1206" s="27"/>
    </row>
    <row r="1207" spans="2:6" x14ac:dyDescent="0.25">
      <c r="B1207" s="20"/>
      <c r="C1207" s="20"/>
      <c r="D1207" s="27"/>
      <c r="E1207" s="27"/>
      <c r="F1207" s="27"/>
    </row>
    <row r="1208" spans="2:6" x14ac:dyDescent="0.25">
      <c r="B1208" s="20"/>
      <c r="C1208" s="20"/>
      <c r="D1208" s="27"/>
      <c r="E1208" s="27"/>
      <c r="F1208" s="27"/>
    </row>
    <row r="1209" spans="2:6" x14ac:dyDescent="0.25">
      <c r="B1209" s="20"/>
      <c r="C1209" s="20"/>
      <c r="D1209" s="27"/>
      <c r="E1209" s="27"/>
      <c r="F1209" s="27"/>
    </row>
    <row r="1210" spans="2:6" x14ac:dyDescent="0.25">
      <c r="B1210" s="20"/>
      <c r="C1210" s="20"/>
      <c r="D1210" s="27"/>
      <c r="E1210" s="27"/>
      <c r="F1210" s="27"/>
    </row>
    <row r="1211" spans="2:6" x14ac:dyDescent="0.25">
      <c r="B1211" s="20"/>
      <c r="C1211" s="20"/>
      <c r="D1211" s="27"/>
      <c r="E1211" s="27"/>
      <c r="F1211" s="27"/>
    </row>
    <row r="1212" spans="2:6" x14ac:dyDescent="0.25">
      <c r="B1212" s="20"/>
      <c r="C1212" s="20"/>
      <c r="D1212" s="27"/>
      <c r="E1212" s="27"/>
      <c r="F1212" s="27"/>
    </row>
    <row r="1213" spans="2:6" x14ac:dyDescent="0.25">
      <c r="B1213" s="20"/>
      <c r="C1213" s="20"/>
      <c r="D1213" s="27"/>
      <c r="E1213" s="27"/>
      <c r="F1213" s="27"/>
    </row>
    <row r="1214" spans="2:6" x14ac:dyDescent="0.25">
      <c r="B1214" s="20"/>
      <c r="C1214" s="20"/>
      <c r="D1214" s="27"/>
      <c r="E1214" s="27"/>
      <c r="F1214" s="27"/>
    </row>
    <row r="1215" spans="2:6" x14ac:dyDescent="0.25">
      <c r="B1215" s="20"/>
      <c r="C1215" s="20"/>
      <c r="D1215" s="27"/>
      <c r="E1215" s="27"/>
      <c r="F1215" s="27"/>
    </row>
    <row r="1216" spans="2:6" x14ac:dyDescent="0.25">
      <c r="B1216" s="20"/>
      <c r="C1216" s="20"/>
      <c r="D1216" s="27"/>
      <c r="E1216" s="27"/>
      <c r="F1216" s="27"/>
    </row>
    <row r="1217" spans="2:6" x14ac:dyDescent="0.25">
      <c r="B1217" s="20"/>
      <c r="C1217" s="20"/>
      <c r="D1217" s="27"/>
      <c r="E1217" s="27"/>
      <c r="F1217" s="27"/>
    </row>
    <row r="1218" spans="2:6" x14ac:dyDescent="0.25">
      <c r="B1218" s="20"/>
      <c r="C1218" s="20"/>
      <c r="D1218" s="27"/>
      <c r="E1218" s="27"/>
      <c r="F1218" s="27"/>
    </row>
    <row r="1219" spans="2:6" x14ac:dyDescent="0.25">
      <c r="B1219" s="20"/>
      <c r="C1219" s="20"/>
      <c r="D1219" s="27"/>
      <c r="E1219" s="27"/>
      <c r="F1219" s="27"/>
    </row>
    <row r="1220" spans="2:6" x14ac:dyDescent="0.25">
      <c r="B1220" s="20"/>
      <c r="C1220" s="20"/>
      <c r="D1220" s="27"/>
      <c r="E1220" s="27"/>
      <c r="F1220" s="27"/>
    </row>
    <row r="1221" spans="2:6" x14ac:dyDescent="0.25">
      <c r="B1221" s="20"/>
      <c r="C1221" s="20"/>
      <c r="D1221" s="27"/>
      <c r="E1221" s="27"/>
      <c r="F1221" s="27"/>
    </row>
    <row r="1222" spans="2:6" x14ac:dyDescent="0.25">
      <c r="B1222" s="20"/>
      <c r="C1222" s="20"/>
      <c r="D1222" s="27"/>
      <c r="E1222" s="27"/>
      <c r="F1222" s="27"/>
    </row>
    <row r="1223" spans="2:6" x14ac:dyDescent="0.25">
      <c r="B1223" s="20"/>
      <c r="C1223" s="20"/>
      <c r="D1223" s="27"/>
      <c r="E1223" s="27"/>
      <c r="F1223" s="27"/>
    </row>
    <row r="1224" spans="2:6" x14ac:dyDescent="0.25">
      <c r="B1224" s="20"/>
      <c r="C1224" s="20"/>
      <c r="D1224" s="27"/>
      <c r="E1224" s="27"/>
      <c r="F1224" s="27"/>
    </row>
    <row r="1225" spans="2:6" x14ac:dyDescent="0.25">
      <c r="B1225" s="20"/>
      <c r="C1225" s="20"/>
      <c r="D1225" s="27"/>
      <c r="E1225" s="27"/>
      <c r="F1225" s="27"/>
    </row>
    <row r="1226" spans="2:6" x14ac:dyDescent="0.25">
      <c r="B1226" s="20"/>
      <c r="C1226" s="20"/>
      <c r="D1226" s="27"/>
      <c r="E1226" s="27"/>
      <c r="F1226" s="27"/>
    </row>
    <row r="1227" spans="2:6" x14ac:dyDescent="0.25">
      <c r="B1227" s="20"/>
      <c r="C1227" s="20"/>
      <c r="D1227" s="27"/>
      <c r="E1227" s="27"/>
      <c r="F1227" s="27"/>
    </row>
    <row r="1228" spans="2:6" x14ac:dyDescent="0.25">
      <c r="B1228" s="20"/>
      <c r="C1228" s="20"/>
      <c r="D1228" s="27"/>
      <c r="E1228" s="27"/>
      <c r="F1228" s="27"/>
    </row>
    <row r="1229" spans="2:6" x14ac:dyDescent="0.25">
      <c r="B1229" s="20"/>
      <c r="C1229" s="20"/>
      <c r="D1229" s="27"/>
      <c r="E1229" s="27"/>
      <c r="F1229" s="27"/>
    </row>
    <row r="1230" spans="2:6" x14ac:dyDescent="0.25">
      <c r="B1230" s="20"/>
      <c r="C1230" s="20"/>
      <c r="D1230" s="27"/>
      <c r="E1230" s="27"/>
      <c r="F1230" s="27"/>
    </row>
    <row r="1231" spans="2:6" x14ac:dyDescent="0.25">
      <c r="B1231" s="20"/>
      <c r="C1231" s="20"/>
      <c r="D1231" s="27"/>
      <c r="E1231" s="27"/>
      <c r="F1231" s="27"/>
    </row>
    <row r="1232" spans="2:6" x14ac:dyDescent="0.25">
      <c r="B1232" s="20"/>
      <c r="C1232" s="20"/>
      <c r="D1232" s="27"/>
      <c r="E1232" s="27"/>
      <c r="F1232" s="27"/>
    </row>
    <row r="1233" spans="2:6" x14ac:dyDescent="0.25">
      <c r="B1233" s="20"/>
      <c r="C1233" s="20"/>
      <c r="D1233" s="27"/>
      <c r="E1233" s="27"/>
      <c r="F1233" s="27"/>
    </row>
    <row r="1234" spans="2:6" x14ac:dyDescent="0.25">
      <c r="B1234" s="20"/>
      <c r="C1234" s="20"/>
      <c r="D1234" s="27"/>
      <c r="E1234" s="27"/>
      <c r="F1234" s="27"/>
    </row>
    <row r="1235" spans="2:6" x14ac:dyDescent="0.25">
      <c r="B1235" s="20"/>
      <c r="C1235" s="20"/>
      <c r="D1235" s="27"/>
      <c r="E1235" s="27"/>
      <c r="F1235" s="27"/>
    </row>
    <row r="1236" spans="2:6" x14ac:dyDescent="0.25">
      <c r="B1236" s="20"/>
      <c r="C1236" s="20"/>
      <c r="D1236" s="27"/>
      <c r="E1236" s="27"/>
      <c r="F1236" s="27"/>
    </row>
    <row r="1237" spans="2:6" x14ac:dyDescent="0.25">
      <c r="B1237" s="20"/>
      <c r="C1237" s="20"/>
      <c r="D1237" s="27"/>
      <c r="E1237" s="27"/>
      <c r="F1237" s="27"/>
    </row>
    <row r="1238" spans="2:6" x14ac:dyDescent="0.25">
      <c r="B1238" s="20"/>
      <c r="C1238" s="20"/>
      <c r="D1238" s="27"/>
      <c r="E1238" s="27"/>
      <c r="F1238" s="27"/>
    </row>
    <row r="1239" spans="2:6" x14ac:dyDescent="0.25">
      <c r="B1239" s="20"/>
      <c r="C1239" s="20"/>
      <c r="D1239" s="27"/>
      <c r="E1239" s="27"/>
      <c r="F1239" s="27"/>
    </row>
    <row r="1240" spans="2:6" x14ac:dyDescent="0.25">
      <c r="B1240" s="20"/>
      <c r="C1240" s="20"/>
      <c r="D1240" s="27"/>
      <c r="E1240" s="27"/>
      <c r="F1240" s="27"/>
    </row>
    <row r="1241" spans="2:6" x14ac:dyDescent="0.25">
      <c r="B1241" s="20"/>
      <c r="C1241" s="20"/>
      <c r="D1241" s="27"/>
      <c r="E1241" s="27"/>
      <c r="F1241" s="27"/>
    </row>
    <row r="1242" spans="2:6" x14ac:dyDescent="0.25">
      <c r="B1242" s="20"/>
      <c r="C1242" s="20"/>
      <c r="D1242" s="27"/>
      <c r="E1242" s="27"/>
      <c r="F1242" s="27"/>
    </row>
    <row r="1243" spans="2:6" x14ac:dyDescent="0.25">
      <c r="B1243" s="20"/>
      <c r="C1243" s="20"/>
      <c r="D1243" s="27"/>
      <c r="E1243" s="27"/>
      <c r="F1243" s="27"/>
    </row>
    <row r="1244" spans="2:6" x14ac:dyDescent="0.25">
      <c r="B1244" s="20"/>
      <c r="C1244" s="20"/>
      <c r="D1244" s="27"/>
      <c r="E1244" s="27"/>
      <c r="F1244" s="27"/>
    </row>
    <row r="1245" spans="2:6" x14ac:dyDescent="0.25">
      <c r="B1245" s="20"/>
      <c r="C1245" s="20"/>
      <c r="D1245" s="27"/>
      <c r="E1245" s="27"/>
      <c r="F1245" s="27"/>
    </row>
    <row r="1246" spans="2:6" x14ac:dyDescent="0.25">
      <c r="B1246" s="20"/>
      <c r="C1246" s="20"/>
      <c r="D1246" s="27"/>
      <c r="E1246" s="27"/>
      <c r="F1246" s="27"/>
    </row>
    <row r="1247" spans="2:6" x14ac:dyDescent="0.25">
      <c r="B1247" s="20"/>
      <c r="C1247" s="20"/>
      <c r="D1247" s="27"/>
      <c r="E1247" s="27"/>
      <c r="F1247" s="27"/>
    </row>
    <row r="1248" spans="2:6" x14ac:dyDescent="0.25">
      <c r="B1248" s="20"/>
      <c r="C1248" s="20"/>
      <c r="D1248" s="27"/>
      <c r="E1248" s="27"/>
      <c r="F1248" s="27"/>
    </row>
    <row r="1249" spans="2:6" x14ac:dyDescent="0.25">
      <c r="B1249" s="20"/>
      <c r="C1249" s="20"/>
      <c r="D1249" s="27"/>
      <c r="E1249" s="27"/>
      <c r="F1249" s="27"/>
    </row>
    <row r="1250" spans="2:6" x14ac:dyDescent="0.25">
      <c r="B1250" s="20"/>
      <c r="C1250" s="20"/>
      <c r="D1250" s="27"/>
      <c r="E1250" s="27"/>
      <c r="F1250" s="27"/>
    </row>
    <row r="1251" spans="2:6" x14ac:dyDescent="0.25">
      <c r="B1251" s="20"/>
      <c r="C1251" s="20"/>
      <c r="D1251" s="27"/>
      <c r="E1251" s="27"/>
      <c r="F1251" s="27"/>
    </row>
    <row r="1252" spans="2:6" x14ac:dyDescent="0.25">
      <c r="B1252" s="20"/>
      <c r="C1252" s="20"/>
      <c r="D1252" s="27"/>
      <c r="E1252" s="27"/>
      <c r="F1252" s="27"/>
    </row>
    <row r="1253" spans="2:6" x14ac:dyDescent="0.25">
      <c r="B1253" s="20"/>
      <c r="C1253" s="20"/>
      <c r="D1253" s="27"/>
      <c r="E1253" s="27"/>
      <c r="F1253" s="27"/>
    </row>
    <row r="1254" spans="2:6" x14ac:dyDescent="0.25">
      <c r="B1254" s="20"/>
      <c r="C1254" s="20"/>
      <c r="D1254" s="27"/>
      <c r="E1254" s="27"/>
      <c r="F1254" s="27"/>
    </row>
    <row r="1255" spans="2:6" x14ac:dyDescent="0.25">
      <c r="B1255" s="20"/>
      <c r="C1255" s="20"/>
      <c r="D1255" s="27"/>
      <c r="E1255" s="27"/>
      <c r="F1255" s="27"/>
    </row>
    <row r="1256" spans="2:6" x14ac:dyDescent="0.25">
      <c r="B1256" s="20"/>
      <c r="C1256" s="20"/>
      <c r="D1256" s="27"/>
      <c r="E1256" s="27"/>
      <c r="F1256" s="27"/>
    </row>
    <row r="1257" spans="2:6" x14ac:dyDescent="0.25">
      <c r="B1257" s="20"/>
      <c r="C1257" s="20"/>
      <c r="D1257" s="27"/>
      <c r="E1257" s="27"/>
      <c r="F1257" s="27"/>
    </row>
    <row r="1258" spans="2:6" x14ac:dyDescent="0.25">
      <c r="B1258" s="20"/>
      <c r="C1258" s="20"/>
      <c r="D1258" s="27"/>
      <c r="E1258" s="27"/>
      <c r="F1258" s="27"/>
    </row>
    <row r="1259" spans="2:6" x14ac:dyDescent="0.25">
      <c r="B1259" s="20"/>
      <c r="C1259" s="20"/>
      <c r="D1259" s="27"/>
      <c r="E1259" s="27"/>
      <c r="F1259" s="27"/>
    </row>
    <row r="1260" spans="2:6" x14ac:dyDescent="0.25">
      <c r="B1260" s="20"/>
      <c r="C1260" s="20"/>
      <c r="D1260" s="27"/>
      <c r="E1260" s="27"/>
      <c r="F1260" s="27"/>
    </row>
    <row r="1261" spans="2:6" x14ac:dyDescent="0.25">
      <c r="B1261" s="20"/>
      <c r="C1261" s="20"/>
      <c r="D1261" s="27"/>
      <c r="E1261" s="27"/>
      <c r="F1261" s="27"/>
    </row>
    <row r="1262" spans="2:6" x14ac:dyDescent="0.25">
      <c r="B1262" s="20"/>
      <c r="C1262" s="20"/>
      <c r="D1262" s="27"/>
      <c r="E1262" s="27"/>
      <c r="F1262" s="27"/>
    </row>
    <row r="1263" spans="2:6" x14ac:dyDescent="0.25">
      <c r="B1263" s="20"/>
      <c r="C1263" s="20"/>
      <c r="D1263" s="27"/>
      <c r="E1263" s="27"/>
      <c r="F1263" s="27"/>
    </row>
    <row r="1264" spans="2:6" x14ac:dyDescent="0.25">
      <c r="B1264" s="20"/>
      <c r="C1264" s="20"/>
      <c r="D1264" s="27"/>
      <c r="E1264" s="27"/>
      <c r="F1264" s="27"/>
    </row>
    <row r="1265" spans="2:6" x14ac:dyDescent="0.25">
      <c r="B1265" s="20"/>
      <c r="C1265" s="20"/>
      <c r="D1265" s="27"/>
      <c r="E1265" s="27"/>
      <c r="F1265" s="27"/>
    </row>
    <row r="1266" spans="2:6" x14ac:dyDescent="0.25">
      <c r="B1266" s="20"/>
      <c r="C1266" s="20"/>
      <c r="D1266" s="27"/>
      <c r="E1266" s="27"/>
      <c r="F1266" s="27"/>
    </row>
    <row r="1267" spans="2:6" x14ac:dyDescent="0.25">
      <c r="B1267" s="20"/>
      <c r="C1267" s="20"/>
      <c r="D1267" s="27"/>
      <c r="E1267" s="27"/>
      <c r="F1267" s="27"/>
    </row>
    <row r="1268" spans="2:6" x14ac:dyDescent="0.25">
      <c r="B1268" s="20"/>
      <c r="C1268" s="20"/>
      <c r="D1268" s="27"/>
      <c r="E1268" s="27"/>
      <c r="F1268" s="27"/>
    </row>
    <row r="1269" spans="2:6" x14ac:dyDescent="0.25">
      <c r="B1269" s="20"/>
      <c r="C1269" s="20"/>
      <c r="D1269" s="27"/>
      <c r="E1269" s="27"/>
      <c r="F1269" s="27"/>
    </row>
    <row r="1270" spans="2:6" x14ac:dyDescent="0.25">
      <c r="B1270" s="20"/>
      <c r="C1270" s="20"/>
      <c r="D1270" s="27"/>
      <c r="E1270" s="27"/>
      <c r="F1270" s="27"/>
    </row>
    <row r="1271" spans="2:6" x14ac:dyDescent="0.25">
      <c r="B1271" s="20"/>
      <c r="C1271" s="20"/>
      <c r="D1271" s="27"/>
      <c r="E1271" s="27"/>
      <c r="F1271" s="27"/>
    </row>
    <row r="1272" spans="2:6" x14ac:dyDescent="0.25">
      <c r="B1272" s="20"/>
      <c r="C1272" s="20"/>
      <c r="D1272" s="27"/>
      <c r="E1272" s="27"/>
      <c r="F1272" s="27"/>
    </row>
    <row r="1273" spans="2:6" x14ac:dyDescent="0.25">
      <c r="B1273" s="20"/>
      <c r="C1273" s="20"/>
      <c r="D1273" s="27"/>
      <c r="E1273" s="27"/>
      <c r="F1273" s="27"/>
    </row>
    <row r="1274" spans="2:6" x14ac:dyDescent="0.25">
      <c r="B1274" s="20"/>
      <c r="C1274" s="20"/>
      <c r="D1274" s="27"/>
      <c r="E1274" s="27"/>
      <c r="F1274" s="27"/>
    </row>
    <row r="1275" spans="2:6" x14ac:dyDescent="0.25">
      <c r="B1275" s="20"/>
      <c r="C1275" s="20"/>
      <c r="D1275" s="27"/>
      <c r="E1275" s="27"/>
      <c r="F1275" s="27"/>
    </row>
    <row r="1276" spans="2:6" x14ac:dyDescent="0.25">
      <c r="B1276" s="20"/>
      <c r="C1276" s="20"/>
      <c r="D1276" s="27"/>
      <c r="E1276" s="27"/>
      <c r="F1276" s="27"/>
    </row>
    <row r="1277" spans="2:6" x14ac:dyDescent="0.25">
      <c r="B1277" s="20"/>
      <c r="C1277" s="20"/>
      <c r="D1277" s="27"/>
      <c r="E1277" s="27"/>
      <c r="F1277" s="27"/>
    </row>
    <row r="1278" spans="2:6" x14ac:dyDescent="0.25">
      <c r="B1278" s="20"/>
      <c r="C1278" s="20"/>
      <c r="D1278" s="27"/>
      <c r="E1278" s="27"/>
      <c r="F1278" s="27"/>
    </row>
    <row r="1279" spans="2:6" x14ac:dyDescent="0.25">
      <c r="B1279" s="20"/>
      <c r="C1279" s="20"/>
      <c r="D1279" s="27"/>
      <c r="E1279" s="27"/>
      <c r="F1279" s="27"/>
    </row>
    <row r="1280" spans="2:6" x14ac:dyDescent="0.25">
      <c r="B1280" s="20"/>
      <c r="C1280" s="20"/>
      <c r="D1280" s="27"/>
      <c r="E1280" s="27"/>
      <c r="F1280" s="27"/>
    </row>
    <row r="1281" spans="2:6" x14ac:dyDescent="0.25">
      <c r="B1281" s="20"/>
      <c r="C1281" s="20"/>
      <c r="D1281" s="27"/>
      <c r="E1281" s="27"/>
      <c r="F1281" s="27"/>
    </row>
    <row r="1282" spans="2:6" x14ac:dyDescent="0.25">
      <c r="B1282" s="20"/>
      <c r="C1282" s="20"/>
      <c r="D1282" s="27"/>
      <c r="E1282" s="27"/>
      <c r="F1282" s="27"/>
    </row>
    <row r="1283" spans="2:6" x14ac:dyDescent="0.25">
      <c r="B1283" s="20"/>
      <c r="C1283" s="20"/>
      <c r="D1283" s="27"/>
      <c r="E1283" s="27"/>
      <c r="F1283" s="27"/>
    </row>
    <row r="1284" spans="2:6" x14ac:dyDescent="0.25">
      <c r="B1284" s="20"/>
      <c r="C1284" s="20"/>
      <c r="D1284" s="27"/>
      <c r="E1284" s="27"/>
      <c r="F1284" s="27"/>
    </row>
    <row r="1285" spans="2:6" x14ac:dyDescent="0.25">
      <c r="B1285" s="20"/>
      <c r="C1285" s="20"/>
      <c r="D1285" s="27"/>
      <c r="E1285" s="27"/>
      <c r="F1285" s="27"/>
    </row>
    <row r="1286" spans="2:6" x14ac:dyDescent="0.25">
      <c r="B1286" s="20"/>
      <c r="C1286" s="20"/>
      <c r="D1286" s="27"/>
      <c r="E1286" s="27"/>
      <c r="F1286" s="27"/>
    </row>
    <row r="1287" spans="2:6" x14ac:dyDescent="0.25">
      <c r="B1287" s="20"/>
      <c r="C1287" s="20"/>
      <c r="D1287" s="27"/>
      <c r="E1287" s="27"/>
      <c r="F1287" s="27"/>
    </row>
    <row r="1288" spans="2:6" x14ac:dyDescent="0.25">
      <c r="B1288" s="20"/>
      <c r="C1288" s="20"/>
      <c r="D1288" s="27"/>
      <c r="E1288" s="27"/>
      <c r="F1288" s="27"/>
    </row>
    <row r="1289" spans="2:6" x14ac:dyDescent="0.25">
      <c r="B1289" s="20"/>
      <c r="C1289" s="20"/>
      <c r="D1289" s="27"/>
      <c r="E1289" s="27"/>
      <c r="F1289" s="27"/>
    </row>
    <row r="1290" spans="2:6" x14ac:dyDescent="0.25">
      <c r="B1290" s="20"/>
      <c r="C1290" s="20"/>
      <c r="D1290" s="27"/>
      <c r="E1290" s="27"/>
      <c r="F1290" s="27"/>
    </row>
    <row r="1291" spans="2:6" x14ac:dyDescent="0.25">
      <c r="B1291" s="20"/>
      <c r="C1291" s="20"/>
      <c r="D1291" s="27"/>
      <c r="E1291" s="27"/>
      <c r="F1291" s="27"/>
    </row>
    <row r="1292" spans="2:6" x14ac:dyDescent="0.25">
      <c r="B1292" s="20"/>
      <c r="C1292" s="20"/>
      <c r="D1292" s="27"/>
      <c r="E1292" s="27"/>
      <c r="F1292" s="27"/>
    </row>
    <row r="1293" spans="2:6" x14ac:dyDescent="0.25">
      <c r="B1293" s="20"/>
      <c r="C1293" s="20"/>
      <c r="D1293" s="27"/>
      <c r="E1293" s="27"/>
      <c r="F1293" s="27"/>
    </row>
    <row r="1294" spans="2:6" x14ac:dyDescent="0.25">
      <c r="B1294" s="20"/>
      <c r="C1294" s="20"/>
      <c r="D1294" s="27"/>
      <c r="E1294" s="27"/>
      <c r="F1294" s="27"/>
    </row>
    <row r="1295" spans="2:6" x14ac:dyDescent="0.25">
      <c r="B1295" s="20"/>
      <c r="C1295" s="20"/>
      <c r="D1295" s="27"/>
      <c r="E1295" s="27"/>
      <c r="F1295" s="27"/>
    </row>
    <row r="1296" spans="2:6" x14ac:dyDescent="0.25">
      <c r="B1296" s="20"/>
      <c r="C1296" s="20"/>
      <c r="D1296" s="27"/>
      <c r="E1296" s="27"/>
      <c r="F1296" s="27"/>
    </row>
    <row r="1297" spans="2:6" x14ac:dyDescent="0.25">
      <c r="B1297" s="20"/>
      <c r="C1297" s="20"/>
      <c r="D1297" s="27"/>
      <c r="E1297" s="27"/>
      <c r="F1297" s="27"/>
    </row>
    <row r="1298" spans="2:6" x14ac:dyDescent="0.25">
      <c r="B1298" s="20"/>
      <c r="C1298" s="20"/>
      <c r="D1298" s="27"/>
      <c r="E1298" s="27"/>
      <c r="F1298" s="27"/>
    </row>
    <row r="1299" spans="2:6" x14ac:dyDescent="0.25">
      <c r="B1299" s="20"/>
      <c r="C1299" s="20"/>
      <c r="D1299" s="27"/>
      <c r="E1299" s="27"/>
      <c r="F1299" s="27"/>
    </row>
    <row r="1300" spans="2:6" x14ac:dyDescent="0.25">
      <c r="B1300" s="20"/>
      <c r="C1300" s="20"/>
      <c r="D1300" s="27"/>
      <c r="E1300" s="27"/>
      <c r="F1300" s="27"/>
    </row>
    <row r="1301" spans="2:6" x14ac:dyDescent="0.25">
      <c r="B1301" s="20"/>
      <c r="C1301" s="20"/>
      <c r="D1301" s="27"/>
      <c r="E1301" s="27"/>
      <c r="F1301" s="27"/>
    </row>
    <row r="1302" spans="2:6" x14ac:dyDescent="0.25">
      <c r="B1302" s="20"/>
      <c r="C1302" s="20"/>
      <c r="D1302" s="27"/>
      <c r="E1302" s="27"/>
      <c r="F1302" s="27"/>
    </row>
    <row r="1303" spans="2:6" x14ac:dyDescent="0.25">
      <c r="B1303" s="20"/>
      <c r="C1303" s="20"/>
      <c r="D1303" s="27"/>
      <c r="E1303" s="27"/>
      <c r="F1303" s="27"/>
    </row>
    <row r="1304" spans="2:6" x14ac:dyDescent="0.25">
      <c r="B1304" s="20"/>
      <c r="C1304" s="20"/>
      <c r="D1304" s="27"/>
      <c r="E1304" s="27"/>
      <c r="F1304" s="27"/>
    </row>
    <row r="1305" spans="2:6" x14ac:dyDescent="0.25">
      <c r="B1305" s="20"/>
      <c r="C1305" s="20"/>
      <c r="D1305" s="27"/>
      <c r="E1305" s="27"/>
      <c r="F1305" s="27"/>
    </row>
    <row r="1306" spans="2:6" x14ac:dyDescent="0.25">
      <c r="B1306" s="20"/>
      <c r="C1306" s="20"/>
      <c r="D1306" s="27"/>
      <c r="E1306" s="27"/>
      <c r="F1306" s="27"/>
    </row>
    <row r="1307" spans="2:6" x14ac:dyDescent="0.25">
      <c r="B1307" s="20"/>
      <c r="C1307" s="20"/>
      <c r="D1307" s="27"/>
      <c r="E1307" s="27"/>
      <c r="F1307" s="27"/>
    </row>
    <row r="1308" spans="2:6" x14ac:dyDescent="0.25">
      <c r="B1308" s="20"/>
      <c r="C1308" s="20"/>
      <c r="D1308" s="27"/>
      <c r="E1308" s="27"/>
      <c r="F1308" s="27"/>
    </row>
    <row r="1309" spans="2:6" x14ac:dyDescent="0.25">
      <c r="B1309" s="20"/>
      <c r="C1309" s="20"/>
      <c r="D1309" s="27"/>
      <c r="E1309" s="27"/>
      <c r="F1309" s="27"/>
    </row>
    <row r="1310" spans="2:6" x14ac:dyDescent="0.25">
      <c r="B1310" s="20"/>
      <c r="C1310" s="20"/>
      <c r="D1310" s="27"/>
      <c r="E1310" s="27"/>
      <c r="F1310" s="27"/>
    </row>
    <row r="1311" spans="2:6" x14ac:dyDescent="0.25">
      <c r="B1311" s="20"/>
      <c r="C1311" s="20"/>
      <c r="D1311" s="27"/>
      <c r="E1311" s="27"/>
      <c r="F1311" s="27"/>
    </row>
    <row r="1312" spans="2:6" x14ac:dyDescent="0.25">
      <c r="B1312" s="20"/>
      <c r="C1312" s="20"/>
      <c r="D1312" s="27"/>
      <c r="E1312" s="27"/>
      <c r="F1312" s="27"/>
    </row>
    <row r="1313" spans="2:6" x14ac:dyDescent="0.25">
      <c r="B1313" s="20"/>
      <c r="C1313" s="20"/>
      <c r="D1313" s="27"/>
      <c r="E1313" s="27"/>
      <c r="F1313" s="27"/>
    </row>
    <row r="1314" spans="2:6" x14ac:dyDescent="0.25">
      <c r="B1314" s="20"/>
      <c r="C1314" s="20"/>
      <c r="D1314" s="27"/>
      <c r="E1314" s="27"/>
      <c r="F1314" s="27"/>
    </row>
    <row r="1315" spans="2:6" x14ac:dyDescent="0.25">
      <c r="B1315" s="20"/>
      <c r="C1315" s="20"/>
      <c r="D1315" s="27"/>
      <c r="E1315" s="27"/>
      <c r="F1315" s="27"/>
    </row>
    <row r="1316" spans="2:6" x14ac:dyDescent="0.25">
      <c r="B1316" s="20"/>
      <c r="C1316" s="20"/>
      <c r="D1316" s="27"/>
      <c r="E1316" s="27"/>
      <c r="F1316" s="27"/>
    </row>
    <row r="1317" spans="2:6" x14ac:dyDescent="0.25">
      <c r="B1317" s="20"/>
      <c r="C1317" s="20"/>
      <c r="D1317" s="27"/>
      <c r="E1317" s="27"/>
      <c r="F1317" s="27"/>
    </row>
    <row r="1318" spans="2:6" x14ac:dyDescent="0.25">
      <c r="B1318" s="20"/>
      <c r="C1318" s="20"/>
      <c r="D1318" s="27"/>
      <c r="E1318" s="27"/>
      <c r="F1318" s="27"/>
    </row>
    <row r="1319" spans="2:6" x14ac:dyDescent="0.25">
      <c r="B1319" s="20"/>
      <c r="C1319" s="20"/>
      <c r="D1319" s="27"/>
      <c r="E1319" s="27"/>
      <c r="F1319" s="27"/>
    </row>
    <row r="1320" spans="2:6" x14ac:dyDescent="0.25">
      <c r="B1320" s="20"/>
      <c r="C1320" s="20"/>
      <c r="D1320" s="27"/>
      <c r="E1320" s="27"/>
      <c r="F1320" s="27"/>
    </row>
    <row r="1321" spans="2:6" x14ac:dyDescent="0.25">
      <c r="B1321" s="20"/>
      <c r="C1321" s="20"/>
      <c r="D1321" s="27"/>
      <c r="E1321" s="27"/>
      <c r="F1321" s="27"/>
    </row>
    <row r="1322" spans="2:6" x14ac:dyDescent="0.25">
      <c r="B1322" s="20"/>
      <c r="C1322" s="20"/>
      <c r="D1322" s="27"/>
      <c r="E1322" s="27"/>
      <c r="F1322" s="27"/>
    </row>
    <row r="1323" spans="2:6" x14ac:dyDescent="0.25">
      <c r="B1323" s="20"/>
      <c r="C1323" s="20"/>
      <c r="D1323" s="27"/>
      <c r="E1323" s="27"/>
      <c r="F1323" s="27"/>
    </row>
    <row r="1324" spans="2:6" x14ac:dyDescent="0.25">
      <c r="B1324" s="20"/>
      <c r="C1324" s="20"/>
      <c r="D1324" s="27"/>
      <c r="E1324" s="27"/>
      <c r="F1324" s="27"/>
    </row>
    <row r="1325" spans="2:6" x14ac:dyDescent="0.25">
      <c r="B1325" s="20"/>
      <c r="C1325" s="20"/>
      <c r="D1325" s="27"/>
      <c r="E1325" s="27"/>
      <c r="F1325" s="27"/>
    </row>
    <row r="1326" spans="2:6" x14ac:dyDescent="0.25">
      <c r="B1326" s="20"/>
      <c r="C1326" s="20"/>
      <c r="D1326" s="27"/>
      <c r="E1326" s="27"/>
      <c r="F1326" s="27"/>
    </row>
    <row r="1327" spans="2:6" x14ac:dyDescent="0.25">
      <c r="B1327" s="20"/>
      <c r="C1327" s="20"/>
      <c r="D1327" s="27"/>
      <c r="E1327" s="27"/>
      <c r="F1327" s="27"/>
    </row>
    <row r="1328" spans="2:6" x14ac:dyDescent="0.25">
      <c r="B1328" s="20"/>
      <c r="C1328" s="20"/>
      <c r="D1328" s="27"/>
      <c r="E1328" s="27"/>
      <c r="F1328" s="27"/>
    </row>
    <row r="1329" spans="2:6" x14ac:dyDescent="0.25">
      <c r="B1329" s="20"/>
      <c r="C1329" s="20"/>
      <c r="D1329" s="27"/>
      <c r="E1329" s="27"/>
      <c r="F1329" s="27"/>
    </row>
    <row r="1330" spans="2:6" x14ac:dyDescent="0.25">
      <c r="B1330" s="20"/>
      <c r="C1330" s="20"/>
      <c r="D1330" s="27"/>
      <c r="E1330" s="27"/>
      <c r="F1330" s="27"/>
    </row>
    <row r="1331" spans="2:6" x14ac:dyDescent="0.25">
      <c r="B1331" s="20"/>
      <c r="C1331" s="20"/>
      <c r="D1331" s="27"/>
      <c r="E1331" s="27"/>
      <c r="F1331" s="27"/>
    </row>
    <row r="1332" spans="2:6" x14ac:dyDescent="0.25">
      <c r="B1332" s="20"/>
      <c r="C1332" s="20"/>
      <c r="D1332" s="27"/>
      <c r="E1332" s="27"/>
      <c r="F1332" s="27"/>
    </row>
    <row r="1333" spans="2:6" x14ac:dyDescent="0.25">
      <c r="B1333" s="20"/>
      <c r="C1333" s="20"/>
      <c r="D1333" s="27"/>
      <c r="E1333" s="27"/>
      <c r="F1333" s="27"/>
    </row>
    <row r="1334" spans="2:6" x14ac:dyDescent="0.25">
      <c r="B1334" s="20"/>
      <c r="C1334" s="20"/>
      <c r="D1334" s="27"/>
      <c r="E1334" s="27"/>
      <c r="F1334" s="27"/>
    </row>
    <row r="1335" spans="2:6" x14ac:dyDescent="0.25">
      <c r="B1335" s="20"/>
      <c r="C1335" s="20"/>
      <c r="D1335" s="27"/>
      <c r="E1335" s="27"/>
      <c r="F1335" s="27"/>
    </row>
    <row r="1336" spans="2:6" x14ac:dyDescent="0.25">
      <c r="B1336" s="20"/>
      <c r="C1336" s="20"/>
      <c r="D1336" s="27"/>
      <c r="E1336" s="27"/>
      <c r="F1336" s="27"/>
    </row>
    <row r="1337" spans="2:6" x14ac:dyDescent="0.25">
      <c r="B1337" s="20"/>
      <c r="C1337" s="20"/>
      <c r="D1337" s="27"/>
      <c r="E1337" s="27"/>
      <c r="F1337" s="27"/>
    </row>
    <row r="1338" spans="2:6" x14ac:dyDescent="0.25">
      <c r="B1338" s="20"/>
      <c r="C1338" s="20"/>
      <c r="D1338" s="27"/>
      <c r="E1338" s="27"/>
      <c r="F1338" s="27"/>
    </row>
    <row r="1339" spans="2:6" x14ac:dyDescent="0.25">
      <c r="B1339" s="20"/>
      <c r="C1339" s="20"/>
      <c r="D1339" s="27"/>
      <c r="E1339" s="27"/>
      <c r="F1339" s="27"/>
    </row>
    <row r="1340" spans="2:6" x14ac:dyDescent="0.25">
      <c r="B1340" s="20"/>
      <c r="C1340" s="20"/>
      <c r="D1340" s="27"/>
      <c r="E1340" s="27"/>
      <c r="F1340" s="27"/>
    </row>
    <row r="1341" spans="2:6" x14ac:dyDescent="0.25">
      <c r="B1341" s="20"/>
      <c r="C1341" s="20"/>
      <c r="D1341" s="27"/>
      <c r="E1341" s="27"/>
      <c r="F1341" s="27"/>
    </row>
    <row r="1342" spans="2:6" x14ac:dyDescent="0.25">
      <c r="B1342" s="20"/>
      <c r="C1342" s="20"/>
      <c r="D1342" s="27"/>
      <c r="E1342" s="27"/>
      <c r="F1342" s="27"/>
    </row>
    <row r="1343" spans="2:6" x14ac:dyDescent="0.25">
      <c r="B1343" s="20"/>
      <c r="C1343" s="20"/>
      <c r="D1343" s="27"/>
      <c r="E1343" s="27"/>
      <c r="F1343" s="27"/>
    </row>
    <row r="1344" spans="2:6" x14ac:dyDescent="0.25">
      <c r="B1344" s="20"/>
      <c r="C1344" s="20"/>
      <c r="D1344" s="27"/>
      <c r="E1344" s="27"/>
      <c r="F1344" s="27"/>
    </row>
    <row r="1345" spans="2:6" x14ac:dyDescent="0.25">
      <c r="B1345" s="20"/>
      <c r="C1345" s="20"/>
      <c r="D1345" s="27"/>
      <c r="E1345" s="27"/>
      <c r="F1345" s="27"/>
    </row>
    <row r="1346" spans="2:6" x14ac:dyDescent="0.25">
      <c r="B1346" s="20"/>
      <c r="C1346" s="20"/>
      <c r="D1346" s="27"/>
      <c r="E1346" s="27"/>
      <c r="F1346" s="27"/>
    </row>
    <row r="1347" spans="2:6" x14ac:dyDescent="0.25">
      <c r="B1347" s="20"/>
      <c r="C1347" s="20"/>
      <c r="D1347" s="27"/>
      <c r="E1347" s="27"/>
      <c r="F1347" s="27"/>
    </row>
    <row r="1348" spans="2:6" x14ac:dyDescent="0.25">
      <c r="B1348" s="20"/>
      <c r="C1348" s="20"/>
      <c r="D1348" s="27"/>
      <c r="E1348" s="27"/>
      <c r="F1348" s="27"/>
    </row>
    <row r="1349" spans="2:6" x14ac:dyDescent="0.25">
      <c r="B1349" s="20"/>
      <c r="C1349" s="20"/>
      <c r="D1349" s="27"/>
      <c r="E1349" s="27"/>
      <c r="F1349" s="27"/>
    </row>
    <row r="1350" spans="2:6" x14ac:dyDescent="0.25">
      <c r="B1350" s="20"/>
      <c r="C1350" s="20"/>
      <c r="D1350" s="27"/>
      <c r="E1350" s="27"/>
      <c r="F1350" s="27"/>
    </row>
    <row r="1351" spans="2:6" x14ac:dyDescent="0.25">
      <c r="B1351" s="20"/>
      <c r="C1351" s="20"/>
      <c r="D1351" s="27"/>
      <c r="E1351" s="27"/>
      <c r="F1351" s="27"/>
    </row>
    <row r="1352" spans="2:6" x14ac:dyDescent="0.25">
      <c r="B1352" s="20"/>
      <c r="C1352" s="20"/>
      <c r="D1352" s="27"/>
      <c r="E1352" s="27"/>
      <c r="F1352" s="27"/>
    </row>
    <row r="1353" spans="2:6" x14ac:dyDescent="0.25">
      <c r="B1353" s="20"/>
      <c r="C1353" s="20"/>
      <c r="D1353" s="27"/>
      <c r="E1353" s="27"/>
      <c r="F1353" s="27"/>
    </row>
    <row r="1354" spans="2:6" x14ac:dyDescent="0.25">
      <c r="B1354" s="20"/>
      <c r="C1354" s="20"/>
      <c r="D1354" s="27"/>
      <c r="E1354" s="27"/>
      <c r="F1354" s="27"/>
    </row>
    <row r="1355" spans="2:6" x14ac:dyDescent="0.25">
      <c r="B1355" s="20"/>
      <c r="C1355" s="20"/>
      <c r="D1355" s="27"/>
      <c r="E1355" s="27"/>
      <c r="F1355" s="27"/>
    </row>
    <row r="1356" spans="2:6" x14ac:dyDescent="0.25">
      <c r="B1356" s="20"/>
      <c r="C1356" s="20"/>
      <c r="D1356" s="27"/>
      <c r="E1356" s="27"/>
      <c r="F1356" s="27"/>
    </row>
    <row r="1357" spans="2:6" x14ac:dyDescent="0.25">
      <c r="B1357" s="20"/>
      <c r="C1357" s="20"/>
      <c r="D1357" s="27"/>
      <c r="E1357" s="27"/>
      <c r="F1357" s="27"/>
    </row>
    <row r="1358" spans="2:6" x14ac:dyDescent="0.25">
      <c r="B1358" s="20"/>
      <c r="C1358" s="20"/>
      <c r="D1358" s="27"/>
      <c r="E1358" s="27"/>
      <c r="F1358" s="27"/>
    </row>
    <row r="1359" spans="2:6" x14ac:dyDescent="0.25">
      <c r="B1359" s="20"/>
      <c r="C1359" s="20"/>
      <c r="D1359" s="27"/>
      <c r="E1359" s="27"/>
      <c r="F1359" s="27"/>
    </row>
    <row r="1360" spans="2:6" x14ac:dyDescent="0.25">
      <c r="B1360" s="20"/>
      <c r="C1360" s="20"/>
      <c r="D1360" s="27"/>
      <c r="E1360" s="27"/>
      <c r="F1360" s="27"/>
    </row>
    <row r="1361" spans="2:6" x14ac:dyDescent="0.25">
      <c r="B1361" s="20"/>
      <c r="C1361" s="20"/>
      <c r="D1361" s="27"/>
      <c r="E1361" s="27"/>
      <c r="F1361" s="27"/>
    </row>
    <row r="1362" spans="2:6" x14ac:dyDescent="0.25">
      <c r="B1362" s="20"/>
      <c r="C1362" s="20"/>
      <c r="D1362" s="27"/>
      <c r="E1362" s="27"/>
      <c r="F1362" s="27"/>
    </row>
    <row r="1363" spans="2:6" x14ac:dyDescent="0.25">
      <c r="B1363" s="20"/>
      <c r="C1363" s="20"/>
      <c r="D1363" s="27"/>
      <c r="E1363" s="27"/>
      <c r="F1363" s="27"/>
    </row>
    <row r="1364" spans="2:6" x14ac:dyDescent="0.25">
      <c r="B1364" s="20"/>
      <c r="C1364" s="20"/>
      <c r="D1364" s="27"/>
      <c r="E1364" s="27"/>
      <c r="F1364" s="27"/>
    </row>
    <row r="1365" spans="2:6" x14ac:dyDescent="0.25">
      <c r="B1365" s="20"/>
      <c r="C1365" s="20"/>
      <c r="D1365" s="27"/>
      <c r="E1365" s="27"/>
      <c r="F1365" s="27"/>
    </row>
    <row r="1366" spans="2:6" x14ac:dyDescent="0.25">
      <c r="B1366" s="20"/>
      <c r="C1366" s="20"/>
      <c r="D1366" s="27"/>
      <c r="E1366" s="27"/>
      <c r="F1366" s="27"/>
    </row>
    <row r="1367" spans="2:6" x14ac:dyDescent="0.25">
      <c r="B1367" s="20"/>
      <c r="C1367" s="20"/>
      <c r="D1367" s="27"/>
      <c r="E1367" s="27"/>
      <c r="F1367" s="27"/>
    </row>
    <row r="1368" spans="2:6" x14ac:dyDescent="0.25">
      <c r="B1368" s="20"/>
      <c r="C1368" s="20"/>
      <c r="D1368" s="27"/>
      <c r="E1368" s="27"/>
      <c r="F1368" s="27"/>
    </row>
    <row r="1369" spans="2:6" x14ac:dyDescent="0.25">
      <c r="B1369" s="20"/>
      <c r="C1369" s="20"/>
      <c r="D1369" s="27"/>
      <c r="E1369" s="27"/>
      <c r="F1369" s="27"/>
    </row>
    <row r="1370" spans="2:6" x14ac:dyDescent="0.25">
      <c r="B1370" s="20"/>
      <c r="C1370" s="20"/>
      <c r="D1370" s="27"/>
      <c r="E1370" s="27"/>
      <c r="F1370" s="27"/>
    </row>
    <row r="1371" spans="2:6" x14ac:dyDescent="0.25">
      <c r="B1371" s="20"/>
      <c r="C1371" s="20"/>
      <c r="D1371" s="27"/>
      <c r="E1371" s="27"/>
      <c r="F1371" s="27"/>
    </row>
    <row r="1372" spans="2:6" x14ac:dyDescent="0.25">
      <c r="B1372" s="20"/>
      <c r="C1372" s="20"/>
      <c r="D1372" s="27"/>
      <c r="E1372" s="27"/>
      <c r="F1372" s="27"/>
    </row>
    <row r="1373" spans="2:6" x14ac:dyDescent="0.25">
      <c r="B1373" s="20"/>
      <c r="C1373" s="20"/>
      <c r="D1373" s="27"/>
      <c r="E1373" s="27"/>
      <c r="F1373" s="27"/>
    </row>
    <row r="1374" spans="2:6" x14ac:dyDescent="0.25">
      <c r="B1374" s="20"/>
      <c r="C1374" s="20"/>
      <c r="D1374" s="27"/>
      <c r="E1374" s="27"/>
      <c r="F1374" s="27"/>
    </row>
    <row r="1375" spans="2:6" x14ac:dyDescent="0.25">
      <c r="B1375" s="20"/>
      <c r="C1375" s="20"/>
      <c r="D1375" s="27"/>
      <c r="E1375" s="27"/>
      <c r="F1375" s="27"/>
    </row>
    <row r="1376" spans="2:6" x14ac:dyDescent="0.25">
      <c r="B1376" s="20"/>
      <c r="C1376" s="20"/>
      <c r="D1376" s="27"/>
      <c r="E1376" s="27"/>
      <c r="F1376" s="27"/>
    </row>
    <row r="1377" spans="2:6" x14ac:dyDescent="0.25">
      <c r="B1377" s="20"/>
      <c r="C1377" s="20"/>
      <c r="D1377" s="27"/>
      <c r="E1377" s="27"/>
      <c r="F1377" s="27"/>
    </row>
    <row r="1378" spans="2:6" x14ac:dyDescent="0.25">
      <c r="B1378" s="20"/>
      <c r="C1378" s="20"/>
      <c r="D1378" s="27"/>
      <c r="E1378" s="27"/>
      <c r="F1378" s="27"/>
    </row>
    <row r="1379" spans="2:6" x14ac:dyDescent="0.25">
      <c r="B1379" s="20"/>
      <c r="C1379" s="20"/>
      <c r="D1379" s="27"/>
      <c r="E1379" s="27"/>
      <c r="F1379" s="27"/>
    </row>
    <row r="1380" spans="2:6" x14ac:dyDescent="0.25">
      <c r="B1380" s="20"/>
      <c r="C1380" s="20"/>
      <c r="D1380" s="27"/>
      <c r="E1380" s="27"/>
      <c r="F1380" s="27"/>
    </row>
    <row r="1381" spans="2:6" x14ac:dyDescent="0.25">
      <c r="B1381" s="20"/>
      <c r="C1381" s="20"/>
      <c r="D1381" s="27"/>
      <c r="E1381" s="27"/>
      <c r="F1381" s="27"/>
    </row>
    <row r="1382" spans="2:6" x14ac:dyDescent="0.25">
      <c r="B1382" s="20"/>
      <c r="C1382" s="20"/>
      <c r="D1382" s="27"/>
      <c r="E1382" s="27"/>
      <c r="F1382" s="27"/>
    </row>
    <row r="1383" spans="2:6" x14ac:dyDescent="0.25">
      <c r="B1383" s="20"/>
      <c r="C1383" s="20"/>
      <c r="D1383" s="27"/>
      <c r="E1383" s="27"/>
      <c r="F1383" s="27"/>
    </row>
    <row r="1384" spans="2:6" x14ac:dyDescent="0.25">
      <c r="B1384" s="20"/>
      <c r="C1384" s="20"/>
      <c r="D1384" s="27"/>
      <c r="E1384" s="27"/>
      <c r="F1384" s="27"/>
    </row>
    <row r="1385" spans="2:6" x14ac:dyDescent="0.25">
      <c r="B1385" s="20"/>
      <c r="C1385" s="20"/>
      <c r="D1385" s="27"/>
      <c r="E1385" s="27"/>
      <c r="F1385" s="27"/>
    </row>
    <row r="1386" spans="2:6" x14ac:dyDescent="0.25">
      <c r="B1386" s="20"/>
      <c r="C1386" s="20"/>
      <c r="D1386" s="27"/>
      <c r="E1386" s="27"/>
      <c r="F1386" s="27"/>
    </row>
    <row r="1387" spans="2:6" x14ac:dyDescent="0.25">
      <c r="B1387" s="20"/>
      <c r="C1387" s="20"/>
      <c r="D1387" s="27"/>
      <c r="E1387" s="27"/>
      <c r="F1387" s="27"/>
    </row>
    <row r="1388" spans="2:6" x14ac:dyDescent="0.25">
      <c r="B1388" s="20"/>
      <c r="C1388" s="20"/>
      <c r="D1388" s="27"/>
      <c r="E1388" s="27"/>
      <c r="F1388" s="27"/>
    </row>
    <row r="1389" spans="2:6" x14ac:dyDescent="0.25">
      <c r="B1389" s="20"/>
      <c r="C1389" s="20"/>
      <c r="D1389" s="27"/>
      <c r="E1389" s="27"/>
      <c r="F1389" s="27"/>
    </row>
    <row r="1390" spans="2:6" x14ac:dyDescent="0.25">
      <c r="B1390" s="20"/>
      <c r="C1390" s="20"/>
      <c r="D1390" s="27"/>
      <c r="E1390" s="27"/>
      <c r="F1390" s="27"/>
    </row>
    <row r="1391" spans="2:6" x14ac:dyDescent="0.25">
      <c r="B1391" s="20"/>
      <c r="C1391" s="20"/>
      <c r="D1391" s="27"/>
      <c r="E1391" s="27"/>
      <c r="F1391" s="27"/>
    </row>
    <row r="1392" spans="2:6" x14ac:dyDescent="0.25">
      <c r="B1392" s="20"/>
      <c r="C1392" s="20"/>
      <c r="D1392" s="27"/>
      <c r="E1392" s="27"/>
      <c r="F1392" s="27"/>
    </row>
    <row r="1393" spans="2:6" x14ac:dyDescent="0.25">
      <c r="B1393" s="20"/>
      <c r="C1393" s="20"/>
      <c r="D1393" s="27"/>
      <c r="E1393" s="27"/>
      <c r="F1393" s="27"/>
    </row>
    <row r="1394" spans="2:6" x14ac:dyDescent="0.25">
      <c r="B1394" s="20"/>
      <c r="C1394" s="20"/>
      <c r="D1394" s="27"/>
      <c r="E1394" s="27"/>
      <c r="F1394" s="27"/>
    </row>
    <row r="1395" spans="2:6" x14ac:dyDescent="0.25">
      <c r="B1395" s="20"/>
      <c r="C1395" s="20"/>
      <c r="D1395" s="27"/>
      <c r="E1395" s="27"/>
      <c r="F1395" s="27"/>
    </row>
    <row r="1396" spans="2:6" x14ac:dyDescent="0.25">
      <c r="B1396" s="20"/>
      <c r="C1396" s="20"/>
      <c r="D1396" s="27"/>
      <c r="E1396" s="27"/>
      <c r="F1396" s="27"/>
    </row>
    <row r="1397" spans="2:6" x14ac:dyDescent="0.25">
      <c r="B1397" s="20"/>
      <c r="C1397" s="20"/>
      <c r="D1397" s="27"/>
      <c r="E1397" s="27"/>
      <c r="F1397" s="27"/>
    </row>
    <row r="1398" spans="2:6" x14ac:dyDescent="0.25">
      <c r="B1398" s="20"/>
      <c r="C1398" s="20"/>
      <c r="D1398" s="27"/>
      <c r="E1398" s="27"/>
      <c r="F1398" s="27"/>
    </row>
    <row r="1399" spans="2:6" x14ac:dyDescent="0.25">
      <c r="B1399" s="20"/>
      <c r="C1399" s="20"/>
      <c r="D1399" s="27"/>
      <c r="E1399" s="27"/>
      <c r="F1399" s="27"/>
    </row>
    <row r="1400" spans="2:6" x14ac:dyDescent="0.25">
      <c r="B1400" s="20"/>
      <c r="C1400" s="20"/>
      <c r="D1400" s="27"/>
      <c r="E1400" s="27"/>
      <c r="F1400" s="27"/>
    </row>
    <row r="1401" spans="2:6" x14ac:dyDescent="0.25">
      <c r="B1401" s="20"/>
      <c r="C1401" s="20"/>
      <c r="D1401" s="27"/>
      <c r="E1401" s="27"/>
      <c r="F1401" s="27"/>
    </row>
    <row r="1402" spans="2:6" x14ac:dyDescent="0.25">
      <c r="B1402" s="20"/>
      <c r="C1402" s="20"/>
      <c r="D1402" s="27"/>
      <c r="E1402" s="27"/>
      <c r="F1402" s="27"/>
    </row>
    <row r="1403" spans="2:6" x14ac:dyDescent="0.25">
      <c r="B1403" s="20"/>
      <c r="C1403" s="20"/>
      <c r="D1403" s="27"/>
      <c r="E1403" s="27"/>
      <c r="F1403" s="27"/>
    </row>
    <row r="1404" spans="2:6" x14ac:dyDescent="0.25">
      <c r="B1404" s="20"/>
      <c r="C1404" s="20"/>
      <c r="D1404" s="27"/>
      <c r="E1404" s="27"/>
      <c r="F1404" s="27"/>
    </row>
    <row r="1405" spans="2:6" x14ac:dyDescent="0.25">
      <c r="B1405" s="20"/>
      <c r="C1405" s="20"/>
      <c r="D1405" s="27"/>
      <c r="E1405" s="27"/>
      <c r="F1405" s="27"/>
    </row>
    <row r="1406" spans="2:6" x14ac:dyDescent="0.25">
      <c r="B1406" s="20"/>
      <c r="C1406" s="20"/>
      <c r="D1406" s="27"/>
      <c r="E1406" s="27"/>
      <c r="F1406" s="27"/>
    </row>
    <row r="1407" spans="2:6" x14ac:dyDescent="0.25">
      <c r="B1407" s="20"/>
      <c r="C1407" s="20"/>
      <c r="D1407" s="27"/>
      <c r="E1407" s="27"/>
      <c r="F1407" s="27"/>
    </row>
    <row r="1408" spans="2:6" x14ac:dyDescent="0.25">
      <c r="B1408" s="20"/>
      <c r="C1408" s="20"/>
      <c r="D1408" s="27"/>
      <c r="E1408" s="27"/>
      <c r="F1408" s="27"/>
    </row>
    <row r="1409" spans="2:6" x14ac:dyDescent="0.25">
      <c r="B1409" s="20"/>
      <c r="C1409" s="20"/>
      <c r="D1409" s="27"/>
      <c r="E1409" s="27"/>
      <c r="F1409" s="27"/>
    </row>
    <row r="1410" spans="2:6" x14ac:dyDescent="0.25">
      <c r="B1410" s="20"/>
      <c r="C1410" s="20"/>
      <c r="D1410" s="27"/>
      <c r="E1410" s="27"/>
      <c r="F1410" s="27"/>
    </row>
    <row r="1411" spans="2:6" x14ac:dyDescent="0.25">
      <c r="B1411" s="20"/>
      <c r="C1411" s="20"/>
      <c r="D1411" s="27"/>
      <c r="E1411" s="27"/>
      <c r="F1411" s="27"/>
    </row>
    <row r="1412" spans="2:6" x14ac:dyDescent="0.25">
      <c r="B1412" s="20"/>
      <c r="C1412" s="20"/>
      <c r="D1412" s="27"/>
      <c r="E1412" s="27"/>
      <c r="F1412" s="27"/>
    </row>
    <row r="1413" spans="2:6" x14ac:dyDescent="0.25">
      <c r="B1413" s="20"/>
      <c r="C1413" s="20"/>
      <c r="D1413" s="27"/>
      <c r="E1413" s="27"/>
      <c r="F1413" s="27"/>
    </row>
    <row r="1414" spans="2:6" x14ac:dyDescent="0.25">
      <c r="B1414" s="20"/>
      <c r="C1414" s="20"/>
      <c r="D1414" s="27"/>
      <c r="E1414" s="27"/>
      <c r="F1414" s="27"/>
    </row>
    <row r="1415" spans="2:6" x14ac:dyDescent="0.25">
      <c r="B1415" s="20"/>
      <c r="C1415" s="20"/>
      <c r="D1415" s="27"/>
      <c r="E1415" s="27"/>
      <c r="F1415" s="27"/>
    </row>
    <row r="1416" spans="2:6" x14ac:dyDescent="0.25">
      <c r="B1416" s="20"/>
      <c r="C1416" s="20"/>
      <c r="D1416" s="27"/>
      <c r="E1416" s="27"/>
      <c r="F1416" s="27"/>
    </row>
    <row r="1417" spans="2:6" x14ac:dyDescent="0.25">
      <c r="B1417" s="20"/>
      <c r="C1417" s="20"/>
      <c r="D1417" s="27"/>
      <c r="E1417" s="27"/>
      <c r="F1417" s="27"/>
    </row>
    <row r="1418" spans="2:6" x14ac:dyDescent="0.25">
      <c r="B1418" s="20"/>
      <c r="C1418" s="20"/>
      <c r="D1418" s="27"/>
      <c r="E1418" s="27"/>
      <c r="F1418" s="27"/>
    </row>
    <row r="1419" spans="2:6" x14ac:dyDescent="0.25">
      <c r="B1419" s="20"/>
      <c r="C1419" s="20"/>
      <c r="D1419" s="27"/>
      <c r="E1419" s="27"/>
      <c r="F1419" s="27"/>
    </row>
    <row r="1420" spans="2:6" x14ac:dyDescent="0.25">
      <c r="B1420" s="20"/>
      <c r="C1420" s="20"/>
      <c r="D1420" s="27"/>
      <c r="E1420" s="27"/>
      <c r="F1420" s="27"/>
    </row>
    <row r="1421" spans="2:6" x14ac:dyDescent="0.25">
      <c r="B1421" s="20"/>
      <c r="C1421" s="20"/>
      <c r="D1421" s="27"/>
      <c r="E1421" s="27"/>
      <c r="F1421" s="27"/>
    </row>
    <row r="1422" spans="2:6" x14ac:dyDescent="0.25">
      <c r="B1422" s="20"/>
      <c r="C1422" s="20"/>
      <c r="D1422" s="27"/>
      <c r="E1422" s="27"/>
      <c r="F1422" s="27"/>
    </row>
    <row r="1423" spans="2:6" x14ac:dyDescent="0.25">
      <c r="B1423" s="20"/>
      <c r="C1423" s="20"/>
      <c r="D1423" s="27"/>
      <c r="E1423" s="27"/>
      <c r="F1423" s="27"/>
    </row>
    <row r="1424" spans="2:6" x14ac:dyDescent="0.25">
      <c r="B1424" s="20"/>
      <c r="C1424" s="20"/>
      <c r="D1424" s="27"/>
      <c r="E1424" s="27"/>
      <c r="F1424" s="27"/>
    </row>
    <row r="1425" spans="2:6" x14ac:dyDescent="0.25">
      <c r="B1425" s="20"/>
      <c r="C1425" s="20"/>
      <c r="D1425" s="27"/>
      <c r="E1425" s="27"/>
      <c r="F1425" s="27"/>
    </row>
    <row r="1426" spans="2:6" x14ac:dyDescent="0.25">
      <c r="B1426" s="20"/>
      <c r="C1426" s="20"/>
      <c r="D1426" s="27"/>
      <c r="E1426" s="27"/>
      <c r="F1426" s="27"/>
    </row>
    <row r="1427" spans="2:6" x14ac:dyDescent="0.25">
      <c r="B1427" s="20"/>
      <c r="C1427" s="20"/>
      <c r="D1427" s="27"/>
      <c r="E1427" s="27"/>
      <c r="F1427" s="27"/>
    </row>
    <row r="1428" spans="2:6" x14ac:dyDescent="0.25">
      <c r="B1428" s="20"/>
      <c r="C1428" s="20"/>
      <c r="D1428" s="27"/>
      <c r="E1428" s="27"/>
      <c r="F1428" s="27"/>
    </row>
    <row r="1429" spans="2:6" x14ac:dyDescent="0.25">
      <c r="B1429" s="20"/>
      <c r="C1429" s="20"/>
      <c r="D1429" s="27"/>
      <c r="E1429" s="27"/>
      <c r="F1429" s="27"/>
    </row>
    <row r="1430" spans="2:6" x14ac:dyDescent="0.25">
      <c r="B1430" s="20"/>
      <c r="C1430" s="20"/>
      <c r="D1430" s="27"/>
      <c r="E1430" s="27"/>
      <c r="F1430" s="27"/>
    </row>
    <row r="1431" spans="2:6" x14ac:dyDescent="0.25">
      <c r="B1431" s="20"/>
      <c r="C1431" s="20"/>
      <c r="D1431" s="27"/>
      <c r="E1431" s="27"/>
      <c r="F1431" s="27"/>
    </row>
    <row r="1432" spans="2:6" x14ac:dyDescent="0.25">
      <c r="B1432" s="20"/>
      <c r="C1432" s="20"/>
      <c r="D1432" s="27"/>
      <c r="E1432" s="27"/>
      <c r="F1432" s="27"/>
    </row>
    <row r="1433" spans="2:6" x14ac:dyDescent="0.25">
      <c r="B1433" s="20"/>
      <c r="C1433" s="20"/>
      <c r="D1433" s="27"/>
      <c r="E1433" s="27"/>
      <c r="F1433" s="27"/>
    </row>
    <row r="1434" spans="2:6" x14ac:dyDescent="0.25">
      <c r="B1434" s="20"/>
      <c r="C1434" s="20"/>
      <c r="D1434" s="27"/>
      <c r="E1434" s="27"/>
      <c r="F1434" s="27"/>
    </row>
    <row r="1435" spans="2:6" x14ac:dyDescent="0.25">
      <c r="B1435" s="20"/>
      <c r="C1435" s="20"/>
      <c r="D1435" s="27"/>
      <c r="E1435" s="27"/>
      <c r="F1435" s="27"/>
    </row>
    <row r="1436" spans="2:6" x14ac:dyDescent="0.25">
      <c r="B1436" s="20"/>
      <c r="C1436" s="20"/>
      <c r="D1436" s="27"/>
      <c r="E1436" s="27"/>
      <c r="F1436" s="27"/>
    </row>
    <row r="1437" spans="2:6" x14ac:dyDescent="0.25">
      <c r="B1437" s="20"/>
      <c r="C1437" s="20"/>
      <c r="D1437" s="27"/>
      <c r="E1437" s="27"/>
      <c r="F1437" s="27"/>
    </row>
    <row r="1438" spans="2:6" x14ac:dyDescent="0.25">
      <c r="B1438" s="20"/>
      <c r="C1438" s="20"/>
      <c r="D1438" s="27"/>
      <c r="E1438" s="27"/>
      <c r="F1438" s="27"/>
    </row>
    <row r="1439" spans="2:6" x14ac:dyDescent="0.25">
      <c r="B1439" s="20"/>
      <c r="C1439" s="20"/>
      <c r="D1439" s="27"/>
      <c r="E1439" s="27"/>
      <c r="F1439" s="27"/>
    </row>
    <row r="1440" spans="2:6" x14ac:dyDescent="0.25">
      <c r="B1440" s="20"/>
      <c r="C1440" s="20"/>
      <c r="D1440" s="27"/>
      <c r="E1440" s="27"/>
      <c r="F1440" s="27"/>
    </row>
    <row r="1441" spans="2:6" x14ac:dyDescent="0.25">
      <c r="B1441" s="20"/>
      <c r="C1441" s="20"/>
      <c r="D1441" s="27"/>
      <c r="E1441" s="27"/>
      <c r="F1441" s="27"/>
    </row>
    <row r="1442" spans="2:6" x14ac:dyDescent="0.25">
      <c r="B1442" s="20"/>
      <c r="C1442" s="20"/>
      <c r="D1442" s="27"/>
      <c r="E1442" s="27"/>
      <c r="F1442" s="27"/>
    </row>
    <row r="1443" spans="2:6" x14ac:dyDescent="0.25">
      <c r="B1443" s="20"/>
      <c r="C1443" s="20"/>
      <c r="D1443" s="27"/>
      <c r="E1443" s="27"/>
      <c r="F1443" s="27"/>
    </row>
    <row r="1444" spans="2:6" x14ac:dyDescent="0.25">
      <c r="B1444" s="20"/>
      <c r="C1444" s="20"/>
      <c r="D1444" s="27"/>
      <c r="E1444" s="27"/>
      <c r="F1444" s="27"/>
    </row>
    <row r="1445" spans="2:6" x14ac:dyDescent="0.25">
      <c r="B1445" s="20"/>
      <c r="C1445" s="20"/>
      <c r="D1445" s="27"/>
      <c r="E1445" s="27"/>
      <c r="F1445" s="27"/>
    </row>
    <row r="1446" spans="2:6" x14ac:dyDescent="0.25">
      <c r="B1446" s="20"/>
      <c r="C1446" s="20"/>
      <c r="D1446" s="27"/>
      <c r="E1446" s="27"/>
      <c r="F1446" s="27"/>
    </row>
    <row r="1447" spans="2:6" x14ac:dyDescent="0.25">
      <c r="B1447" s="20"/>
      <c r="C1447" s="20"/>
      <c r="D1447" s="27"/>
      <c r="E1447" s="27"/>
      <c r="F1447" s="27"/>
    </row>
    <row r="1448" spans="2:6" x14ac:dyDescent="0.25">
      <c r="B1448" s="20"/>
      <c r="C1448" s="20"/>
      <c r="D1448" s="27"/>
      <c r="E1448" s="27"/>
      <c r="F1448" s="27"/>
    </row>
    <row r="1449" spans="2:6" x14ac:dyDescent="0.25">
      <c r="B1449" s="20"/>
      <c r="C1449" s="20"/>
      <c r="D1449" s="27"/>
      <c r="E1449" s="27"/>
      <c r="F1449" s="27"/>
    </row>
    <row r="1450" spans="2:6" x14ac:dyDescent="0.25">
      <c r="B1450" s="20"/>
      <c r="C1450" s="20"/>
      <c r="D1450" s="27"/>
      <c r="E1450" s="27"/>
      <c r="F1450" s="27"/>
    </row>
    <row r="1451" spans="2:6" x14ac:dyDescent="0.25">
      <c r="B1451" s="20"/>
      <c r="C1451" s="20"/>
      <c r="D1451" s="27"/>
      <c r="E1451" s="27"/>
      <c r="F1451" s="27"/>
    </row>
    <row r="1452" spans="2:6" x14ac:dyDescent="0.25">
      <c r="B1452" s="20"/>
      <c r="C1452" s="20"/>
      <c r="D1452" s="27"/>
      <c r="E1452" s="27"/>
      <c r="F1452" s="27"/>
    </row>
    <row r="1453" spans="2:6" x14ac:dyDescent="0.25">
      <c r="B1453" s="20"/>
      <c r="C1453" s="20"/>
      <c r="D1453" s="27"/>
      <c r="E1453" s="27"/>
      <c r="F1453" s="27"/>
    </row>
    <row r="1454" spans="2:6" x14ac:dyDescent="0.25">
      <c r="B1454" s="20"/>
      <c r="C1454" s="20"/>
      <c r="D1454" s="27"/>
      <c r="E1454" s="27"/>
      <c r="F1454" s="27"/>
    </row>
    <row r="1455" spans="2:6" x14ac:dyDescent="0.25">
      <c r="B1455" s="20"/>
      <c r="C1455" s="20"/>
      <c r="D1455" s="27"/>
      <c r="E1455" s="27"/>
      <c r="F1455" s="27"/>
    </row>
    <row r="1456" spans="2:6" x14ac:dyDescent="0.25">
      <c r="B1456" s="20"/>
      <c r="C1456" s="20"/>
      <c r="D1456" s="27"/>
      <c r="E1456" s="27"/>
      <c r="F1456" s="27"/>
    </row>
    <row r="1457" spans="2:6" x14ac:dyDescent="0.25">
      <c r="B1457" s="20"/>
      <c r="C1457" s="20"/>
      <c r="D1457" s="27"/>
      <c r="E1457" s="27"/>
      <c r="F1457" s="27"/>
    </row>
    <row r="1458" spans="2:6" x14ac:dyDescent="0.25">
      <c r="B1458" s="20"/>
      <c r="C1458" s="20"/>
      <c r="D1458" s="27"/>
      <c r="E1458" s="27"/>
      <c r="F1458" s="27"/>
    </row>
    <row r="1459" spans="2:6" x14ac:dyDescent="0.25">
      <c r="B1459" s="20"/>
      <c r="C1459" s="20"/>
      <c r="D1459" s="27"/>
      <c r="E1459" s="27"/>
      <c r="F1459" s="27"/>
    </row>
    <row r="1460" spans="2:6" x14ac:dyDescent="0.25">
      <c r="B1460" s="20"/>
      <c r="C1460" s="20"/>
      <c r="D1460" s="27"/>
      <c r="E1460" s="27"/>
      <c r="F1460" s="27"/>
    </row>
    <row r="1461" spans="2:6" x14ac:dyDescent="0.25">
      <c r="B1461" s="20"/>
      <c r="C1461" s="20"/>
      <c r="D1461" s="27"/>
      <c r="E1461" s="27"/>
      <c r="F1461" s="27"/>
    </row>
    <row r="1462" spans="2:6" x14ac:dyDescent="0.25">
      <c r="B1462" s="20"/>
      <c r="C1462" s="20"/>
      <c r="D1462" s="27"/>
      <c r="E1462" s="27"/>
      <c r="F1462" s="27"/>
    </row>
    <row r="1463" spans="2:6" x14ac:dyDescent="0.25">
      <c r="B1463" s="20"/>
      <c r="C1463" s="20"/>
      <c r="D1463" s="27"/>
      <c r="E1463" s="27"/>
      <c r="F1463" s="27"/>
    </row>
    <row r="1464" spans="2:6" x14ac:dyDescent="0.25">
      <c r="B1464" s="20"/>
      <c r="C1464" s="20"/>
      <c r="D1464" s="27"/>
      <c r="E1464" s="27"/>
      <c r="F1464" s="27"/>
    </row>
    <row r="1465" spans="2:6" x14ac:dyDescent="0.25">
      <c r="B1465" s="20"/>
      <c r="C1465" s="20"/>
      <c r="D1465" s="27"/>
      <c r="E1465" s="27"/>
      <c r="F1465" s="27"/>
    </row>
    <row r="1466" spans="2:6" x14ac:dyDescent="0.25">
      <c r="B1466" s="20"/>
      <c r="C1466" s="20"/>
      <c r="D1466" s="27"/>
      <c r="E1466" s="27"/>
      <c r="F1466" s="27"/>
    </row>
    <row r="1467" spans="2:6" x14ac:dyDescent="0.25">
      <c r="B1467" s="20"/>
      <c r="C1467" s="20"/>
      <c r="D1467" s="27"/>
      <c r="E1467" s="27"/>
      <c r="F1467" s="27"/>
    </row>
    <row r="1468" spans="2:6" x14ac:dyDescent="0.25">
      <c r="B1468" s="20"/>
      <c r="C1468" s="20"/>
      <c r="D1468" s="27"/>
      <c r="E1468" s="27"/>
      <c r="F1468" s="27"/>
    </row>
    <row r="1469" spans="2:6" x14ac:dyDescent="0.25">
      <c r="B1469" s="20"/>
      <c r="C1469" s="20"/>
      <c r="D1469" s="27"/>
      <c r="E1469" s="27"/>
      <c r="F1469" s="27"/>
    </row>
    <row r="1470" spans="2:6" x14ac:dyDescent="0.25">
      <c r="B1470" s="20"/>
      <c r="C1470" s="20"/>
      <c r="D1470" s="27"/>
      <c r="E1470" s="27"/>
      <c r="F1470" s="27"/>
    </row>
    <row r="1471" spans="2:6" x14ac:dyDescent="0.25">
      <c r="B1471" s="20"/>
      <c r="C1471" s="20"/>
      <c r="D1471" s="27"/>
      <c r="E1471" s="27"/>
      <c r="F1471" s="27"/>
    </row>
    <row r="1472" spans="2:6" x14ac:dyDescent="0.25">
      <c r="B1472" s="20"/>
      <c r="C1472" s="20"/>
      <c r="D1472" s="27"/>
      <c r="E1472" s="27"/>
      <c r="F1472" s="27"/>
    </row>
    <row r="1473" spans="2:6" x14ac:dyDescent="0.25">
      <c r="B1473" s="20"/>
      <c r="C1473" s="20"/>
      <c r="D1473" s="27"/>
      <c r="E1473" s="27"/>
      <c r="F1473" s="27"/>
    </row>
    <row r="1474" spans="2:6" x14ac:dyDescent="0.25">
      <c r="B1474" s="20"/>
      <c r="C1474" s="20"/>
      <c r="D1474" s="27"/>
      <c r="E1474" s="27"/>
      <c r="F1474" s="27"/>
    </row>
    <row r="1475" spans="2:6" x14ac:dyDescent="0.25">
      <c r="B1475" s="20"/>
      <c r="C1475" s="20"/>
      <c r="D1475" s="27"/>
      <c r="E1475" s="27"/>
      <c r="F1475" s="27"/>
    </row>
    <row r="1476" spans="2:6" x14ac:dyDescent="0.25">
      <c r="B1476" s="20"/>
      <c r="C1476" s="20"/>
      <c r="D1476" s="27"/>
      <c r="E1476" s="27"/>
      <c r="F1476" s="27"/>
    </row>
    <row r="1477" spans="2:6" x14ac:dyDescent="0.25">
      <c r="B1477" s="20"/>
      <c r="C1477" s="20"/>
      <c r="D1477" s="27"/>
      <c r="E1477" s="27"/>
      <c r="F1477" s="27"/>
    </row>
    <row r="1478" spans="2:6" x14ac:dyDescent="0.25">
      <c r="B1478" s="20"/>
      <c r="C1478" s="20"/>
      <c r="D1478" s="27"/>
      <c r="E1478" s="27"/>
      <c r="F1478" s="27"/>
    </row>
    <row r="1479" spans="2:6" x14ac:dyDescent="0.25">
      <c r="B1479" s="20"/>
      <c r="C1479" s="20"/>
      <c r="D1479" s="27"/>
      <c r="E1479" s="27"/>
      <c r="F1479" s="27"/>
    </row>
    <row r="1480" spans="2:6" x14ac:dyDescent="0.25">
      <c r="B1480" s="20"/>
      <c r="C1480" s="20"/>
      <c r="D1480" s="27"/>
      <c r="E1480" s="27"/>
      <c r="F1480" s="27"/>
    </row>
    <row r="1481" spans="2:6" x14ac:dyDescent="0.25">
      <c r="B1481" s="20"/>
      <c r="C1481" s="20"/>
      <c r="D1481" s="27"/>
      <c r="E1481" s="27"/>
      <c r="F1481" s="27"/>
    </row>
    <row r="1482" spans="2:6" x14ac:dyDescent="0.25">
      <c r="B1482" s="20"/>
      <c r="C1482" s="20"/>
      <c r="D1482" s="27"/>
      <c r="E1482" s="27"/>
      <c r="F1482" s="27"/>
    </row>
    <row r="1483" spans="2:6" x14ac:dyDescent="0.25">
      <c r="B1483" s="20"/>
      <c r="C1483" s="20"/>
      <c r="D1483" s="27"/>
      <c r="E1483" s="27"/>
      <c r="F1483" s="27"/>
    </row>
    <row r="1484" spans="2:6" x14ac:dyDescent="0.25">
      <c r="B1484" s="20"/>
      <c r="C1484" s="20"/>
      <c r="D1484" s="27"/>
      <c r="E1484" s="27"/>
      <c r="F1484" s="27"/>
    </row>
    <row r="1485" spans="2:6" x14ac:dyDescent="0.25">
      <c r="B1485" s="20"/>
      <c r="C1485" s="20"/>
      <c r="D1485" s="27"/>
      <c r="E1485" s="27"/>
      <c r="F1485" s="27"/>
    </row>
    <row r="1486" spans="2:6" x14ac:dyDescent="0.25">
      <c r="B1486" s="20"/>
      <c r="C1486" s="20"/>
      <c r="D1486" s="27"/>
      <c r="E1486" s="27"/>
      <c r="F1486" s="27"/>
    </row>
    <row r="1487" spans="2:6" x14ac:dyDescent="0.25">
      <c r="B1487" s="20"/>
      <c r="C1487" s="20"/>
      <c r="D1487" s="27"/>
      <c r="E1487" s="27"/>
      <c r="F1487" s="27"/>
    </row>
    <row r="1488" spans="2:6" x14ac:dyDescent="0.25">
      <c r="B1488" s="20"/>
      <c r="C1488" s="20"/>
      <c r="D1488" s="27"/>
      <c r="E1488" s="27"/>
      <c r="F1488" s="27"/>
    </row>
    <row r="1489" spans="2:6" x14ac:dyDescent="0.25">
      <c r="B1489" s="20"/>
      <c r="C1489" s="20"/>
      <c r="D1489" s="27"/>
      <c r="E1489" s="27"/>
      <c r="F1489" s="27"/>
    </row>
    <row r="1490" spans="2:6" x14ac:dyDescent="0.25">
      <c r="B1490" s="20"/>
      <c r="C1490" s="20"/>
      <c r="D1490" s="27"/>
      <c r="E1490" s="27"/>
      <c r="F1490" s="27"/>
    </row>
    <row r="1491" spans="2:6" x14ac:dyDescent="0.25">
      <c r="B1491" s="20"/>
      <c r="C1491" s="20"/>
      <c r="D1491" s="27"/>
      <c r="E1491" s="27"/>
      <c r="F1491" s="27"/>
    </row>
    <row r="1492" spans="2:6" x14ac:dyDescent="0.25">
      <c r="B1492" s="20"/>
      <c r="C1492" s="20"/>
      <c r="D1492" s="27"/>
      <c r="E1492" s="27"/>
      <c r="F1492" s="27"/>
    </row>
    <row r="1493" spans="2:6" x14ac:dyDescent="0.25">
      <c r="B1493" s="20"/>
      <c r="C1493" s="20"/>
      <c r="D1493" s="27"/>
      <c r="E1493" s="27"/>
      <c r="F1493" s="27"/>
    </row>
    <row r="1494" spans="2:6" x14ac:dyDescent="0.25">
      <c r="B1494" s="20"/>
      <c r="C1494" s="20"/>
      <c r="D1494" s="27"/>
      <c r="E1494" s="27"/>
      <c r="F1494" s="27"/>
    </row>
    <row r="1495" spans="2:6" x14ac:dyDescent="0.25">
      <c r="B1495" s="20"/>
      <c r="C1495" s="20"/>
      <c r="D1495" s="27"/>
      <c r="E1495" s="27"/>
      <c r="F1495" s="27"/>
    </row>
    <row r="1496" spans="2:6" x14ac:dyDescent="0.25">
      <c r="B1496" s="20"/>
      <c r="C1496" s="20"/>
      <c r="D1496" s="27"/>
      <c r="E1496" s="27"/>
      <c r="F1496" s="27"/>
    </row>
    <row r="1497" spans="2:6" x14ac:dyDescent="0.25">
      <c r="B1497" s="20"/>
      <c r="C1497" s="20"/>
      <c r="D1497" s="27"/>
      <c r="E1497" s="27"/>
      <c r="F1497" s="27"/>
    </row>
    <row r="1498" spans="2:6" x14ac:dyDescent="0.25">
      <c r="B1498" s="20"/>
      <c r="C1498" s="20"/>
      <c r="D1498" s="27"/>
      <c r="E1498" s="27"/>
      <c r="F1498" s="27"/>
    </row>
    <row r="1499" spans="2:6" x14ac:dyDescent="0.25">
      <c r="B1499" s="20"/>
      <c r="C1499" s="20"/>
      <c r="D1499" s="27"/>
      <c r="E1499" s="27"/>
      <c r="F1499" s="27"/>
    </row>
    <row r="1500" spans="2:6" x14ac:dyDescent="0.25">
      <c r="B1500" s="20"/>
      <c r="C1500" s="20"/>
      <c r="D1500" s="27"/>
      <c r="E1500" s="27"/>
      <c r="F1500" s="27"/>
    </row>
    <row r="1501" spans="2:6" x14ac:dyDescent="0.25">
      <c r="B1501" s="20"/>
      <c r="C1501" s="20"/>
      <c r="D1501" s="27"/>
      <c r="E1501" s="27"/>
      <c r="F1501" s="27"/>
    </row>
    <row r="1502" spans="2:6" x14ac:dyDescent="0.25">
      <c r="B1502" s="20"/>
      <c r="C1502" s="20"/>
      <c r="D1502" s="27"/>
      <c r="E1502" s="27"/>
      <c r="F1502" s="27"/>
    </row>
    <row r="1503" spans="2:6" x14ac:dyDescent="0.25">
      <c r="B1503" s="20"/>
      <c r="C1503" s="20"/>
      <c r="D1503" s="27"/>
      <c r="E1503" s="27"/>
      <c r="F1503" s="27"/>
    </row>
    <row r="1504" spans="2:6" x14ac:dyDescent="0.25">
      <c r="B1504" s="20"/>
      <c r="C1504" s="20"/>
      <c r="D1504" s="27"/>
      <c r="E1504" s="27"/>
      <c r="F1504" s="27"/>
    </row>
    <row r="1505" spans="2:6" x14ac:dyDescent="0.25">
      <c r="B1505" s="20"/>
      <c r="C1505" s="20"/>
      <c r="D1505" s="27"/>
      <c r="E1505" s="27"/>
      <c r="F1505" s="27"/>
    </row>
    <row r="1506" spans="2:6" x14ac:dyDescent="0.25">
      <c r="B1506" s="20"/>
      <c r="C1506" s="20"/>
      <c r="D1506" s="27"/>
      <c r="E1506" s="27"/>
      <c r="F1506" s="27"/>
    </row>
    <row r="1507" spans="2:6" x14ac:dyDescent="0.25">
      <c r="B1507" s="20"/>
      <c r="C1507" s="20"/>
      <c r="D1507" s="27"/>
      <c r="E1507" s="27"/>
      <c r="F1507" s="27"/>
    </row>
    <row r="1508" spans="2:6" x14ac:dyDescent="0.25">
      <c r="B1508" s="20"/>
      <c r="C1508" s="20"/>
      <c r="D1508" s="27"/>
      <c r="E1508" s="27"/>
      <c r="F1508" s="27"/>
    </row>
    <row r="1509" spans="2:6" x14ac:dyDescent="0.25">
      <c r="B1509" s="20"/>
      <c r="C1509" s="20"/>
      <c r="D1509" s="27"/>
      <c r="E1509" s="27"/>
      <c r="F1509" s="27"/>
    </row>
    <row r="1510" spans="2:6" x14ac:dyDescent="0.25">
      <c r="B1510" s="20"/>
      <c r="C1510" s="20"/>
      <c r="D1510" s="27"/>
      <c r="E1510" s="27"/>
      <c r="F1510" s="27"/>
    </row>
    <row r="1511" spans="2:6" x14ac:dyDescent="0.25">
      <c r="B1511" s="20"/>
      <c r="C1511" s="20"/>
      <c r="D1511" s="27"/>
      <c r="E1511" s="27"/>
      <c r="F1511" s="27"/>
    </row>
    <row r="1512" spans="2:6" x14ac:dyDescent="0.25">
      <c r="B1512" s="20"/>
      <c r="C1512" s="20"/>
      <c r="D1512" s="27"/>
      <c r="E1512" s="27"/>
      <c r="F1512" s="27"/>
    </row>
    <row r="1513" spans="2:6" x14ac:dyDescent="0.25">
      <c r="B1513" s="20"/>
      <c r="C1513" s="20"/>
      <c r="D1513" s="27"/>
      <c r="E1513" s="27"/>
      <c r="F1513" s="27"/>
    </row>
    <row r="1514" spans="2:6" x14ac:dyDescent="0.25">
      <c r="B1514" s="20"/>
      <c r="C1514" s="20"/>
      <c r="D1514" s="27"/>
      <c r="E1514" s="27"/>
      <c r="F1514" s="27"/>
    </row>
    <row r="1515" spans="2:6" x14ac:dyDescent="0.25">
      <c r="B1515" s="20"/>
      <c r="C1515" s="20"/>
      <c r="D1515" s="27"/>
      <c r="E1515" s="27"/>
      <c r="F1515" s="27"/>
    </row>
    <row r="1516" spans="2:6" x14ac:dyDescent="0.25">
      <c r="B1516" s="20"/>
      <c r="C1516" s="20"/>
      <c r="D1516" s="27"/>
      <c r="E1516" s="27"/>
      <c r="F1516" s="27"/>
    </row>
    <row r="1517" spans="2:6" x14ac:dyDescent="0.25">
      <c r="B1517" s="20"/>
      <c r="C1517" s="20"/>
      <c r="D1517" s="27"/>
      <c r="E1517" s="27"/>
      <c r="F1517" s="27"/>
    </row>
    <row r="1518" spans="2:6" x14ac:dyDescent="0.25">
      <c r="B1518" s="20"/>
      <c r="C1518" s="20"/>
      <c r="D1518" s="27"/>
      <c r="E1518" s="27"/>
      <c r="F1518" s="27"/>
    </row>
    <row r="1519" spans="2:6" x14ac:dyDescent="0.25">
      <c r="B1519" s="20"/>
      <c r="C1519" s="20"/>
      <c r="D1519" s="27"/>
      <c r="E1519" s="27"/>
      <c r="F1519" s="27"/>
    </row>
    <row r="1520" spans="2:6" x14ac:dyDescent="0.25">
      <c r="B1520" s="20"/>
      <c r="C1520" s="20"/>
      <c r="D1520" s="27"/>
      <c r="E1520" s="27"/>
      <c r="F1520" s="27"/>
    </row>
    <row r="1521" spans="2:6" x14ac:dyDescent="0.25">
      <c r="B1521" s="20"/>
      <c r="C1521" s="20"/>
      <c r="D1521" s="27"/>
      <c r="E1521" s="27"/>
      <c r="F1521" s="27"/>
    </row>
    <row r="1522" spans="2:6" x14ac:dyDescent="0.25">
      <c r="B1522" s="20"/>
      <c r="C1522" s="20"/>
      <c r="D1522" s="27"/>
      <c r="E1522" s="27"/>
      <c r="F1522" s="27"/>
    </row>
    <row r="1523" spans="2:6" x14ac:dyDescent="0.25">
      <c r="B1523" s="20"/>
      <c r="C1523" s="20"/>
      <c r="D1523" s="27"/>
      <c r="E1523" s="27"/>
      <c r="F1523" s="27"/>
    </row>
    <row r="1524" spans="2:6" x14ac:dyDescent="0.25">
      <c r="B1524" s="20"/>
      <c r="C1524" s="20"/>
      <c r="D1524" s="27"/>
      <c r="E1524" s="27"/>
      <c r="F1524" s="27"/>
    </row>
    <row r="1525" spans="2:6" x14ac:dyDescent="0.25">
      <c r="B1525" s="20"/>
      <c r="C1525" s="20"/>
      <c r="D1525" s="27"/>
      <c r="E1525" s="27"/>
      <c r="F1525" s="27"/>
    </row>
    <row r="1526" spans="2:6" x14ac:dyDescent="0.25">
      <c r="B1526" s="20"/>
      <c r="C1526" s="20"/>
      <c r="D1526" s="27"/>
      <c r="E1526" s="27"/>
      <c r="F1526" s="27"/>
    </row>
    <row r="1527" spans="2:6" x14ac:dyDescent="0.25">
      <c r="B1527" s="20"/>
      <c r="C1527" s="20"/>
      <c r="D1527" s="27"/>
      <c r="E1527" s="27"/>
      <c r="F1527" s="27"/>
    </row>
    <row r="1528" spans="2:6" x14ac:dyDescent="0.25">
      <c r="B1528" s="20"/>
      <c r="C1528" s="20"/>
      <c r="D1528" s="27"/>
      <c r="E1528" s="27"/>
      <c r="F1528" s="27"/>
    </row>
    <row r="1529" spans="2:6" x14ac:dyDescent="0.25">
      <c r="B1529" s="20"/>
      <c r="C1529" s="20"/>
      <c r="D1529" s="27"/>
      <c r="E1529" s="27"/>
      <c r="F1529" s="27"/>
    </row>
    <row r="1530" spans="2:6" x14ac:dyDescent="0.25">
      <c r="B1530" s="20"/>
      <c r="C1530" s="20"/>
      <c r="D1530" s="27"/>
      <c r="E1530" s="27"/>
      <c r="F1530" s="27"/>
    </row>
    <row r="1531" spans="2:6" x14ac:dyDescent="0.25">
      <c r="B1531" s="20"/>
      <c r="C1531" s="20"/>
      <c r="D1531" s="27"/>
      <c r="E1531" s="27"/>
      <c r="F1531" s="27"/>
    </row>
    <row r="1532" spans="2:6" x14ac:dyDescent="0.25">
      <c r="B1532" s="20"/>
      <c r="C1532" s="20"/>
      <c r="D1532" s="27"/>
      <c r="E1532" s="27"/>
      <c r="F1532" s="27"/>
    </row>
    <row r="1533" spans="2:6" x14ac:dyDescent="0.25">
      <c r="B1533" s="20"/>
      <c r="C1533" s="20"/>
      <c r="D1533" s="27"/>
      <c r="E1533" s="27"/>
      <c r="F1533" s="27"/>
    </row>
    <row r="1534" spans="2:6" x14ac:dyDescent="0.25">
      <c r="B1534" s="20"/>
      <c r="C1534" s="20"/>
      <c r="D1534" s="27"/>
      <c r="E1534" s="27"/>
      <c r="F1534" s="27"/>
    </row>
    <row r="1535" spans="2:6" x14ac:dyDescent="0.25">
      <c r="B1535" s="20"/>
      <c r="C1535" s="20"/>
      <c r="D1535" s="27"/>
      <c r="E1535" s="27"/>
      <c r="F1535" s="27"/>
    </row>
    <row r="1536" spans="2:6" x14ac:dyDescent="0.25">
      <c r="B1536" s="20"/>
      <c r="C1536" s="20"/>
      <c r="D1536" s="27"/>
      <c r="E1536" s="27"/>
      <c r="F1536" s="27"/>
    </row>
    <row r="1537" spans="2:6" x14ac:dyDescent="0.25">
      <c r="B1537" s="20"/>
      <c r="C1537" s="20"/>
      <c r="D1537" s="27"/>
      <c r="E1537" s="27"/>
      <c r="F1537" s="27"/>
    </row>
    <row r="1538" spans="2:6" x14ac:dyDescent="0.25">
      <c r="B1538" s="20"/>
      <c r="C1538" s="20"/>
      <c r="D1538" s="27"/>
      <c r="E1538" s="27"/>
      <c r="F1538" s="27"/>
    </row>
    <row r="1539" spans="2:6" x14ac:dyDescent="0.25">
      <c r="B1539" s="20"/>
      <c r="C1539" s="20"/>
      <c r="D1539" s="27"/>
      <c r="E1539" s="27"/>
      <c r="F1539" s="27"/>
    </row>
    <row r="1540" spans="2:6" x14ac:dyDescent="0.25">
      <c r="B1540" s="20"/>
      <c r="C1540" s="20"/>
      <c r="D1540" s="27"/>
      <c r="E1540" s="27"/>
      <c r="F1540" s="27"/>
    </row>
    <row r="1541" spans="2:6" x14ac:dyDescent="0.25">
      <c r="B1541" s="20"/>
      <c r="C1541" s="20"/>
      <c r="D1541" s="27"/>
      <c r="E1541" s="27"/>
      <c r="F1541" s="27"/>
    </row>
    <row r="1542" spans="2:6" x14ac:dyDescent="0.25">
      <c r="B1542" s="20"/>
      <c r="C1542" s="20"/>
      <c r="D1542" s="27"/>
      <c r="E1542" s="27"/>
      <c r="F1542" s="27"/>
    </row>
    <row r="1543" spans="2:6" x14ac:dyDescent="0.25">
      <c r="B1543" s="20"/>
      <c r="C1543" s="20"/>
      <c r="D1543" s="27"/>
      <c r="E1543" s="27"/>
      <c r="F1543" s="27"/>
    </row>
    <row r="1544" spans="2:6" x14ac:dyDescent="0.25">
      <c r="B1544" s="20"/>
      <c r="C1544" s="20"/>
      <c r="D1544" s="27"/>
      <c r="E1544" s="27"/>
      <c r="F1544" s="27"/>
    </row>
    <row r="1545" spans="2:6" x14ac:dyDescent="0.25">
      <c r="B1545" s="20"/>
      <c r="C1545" s="20"/>
      <c r="D1545" s="27"/>
      <c r="E1545" s="27"/>
      <c r="F1545" s="27"/>
    </row>
    <row r="1546" spans="2:6" x14ac:dyDescent="0.25">
      <c r="B1546" s="20"/>
      <c r="C1546" s="20"/>
      <c r="D1546" s="27"/>
      <c r="E1546" s="27"/>
      <c r="F1546" s="27"/>
    </row>
    <row r="1547" spans="2:6" x14ac:dyDescent="0.25">
      <c r="B1547" s="20"/>
      <c r="C1547" s="20"/>
      <c r="D1547" s="27"/>
      <c r="E1547" s="27"/>
      <c r="F1547" s="27"/>
    </row>
    <row r="1548" spans="2:6" x14ac:dyDescent="0.25">
      <c r="B1548" s="20"/>
      <c r="C1548" s="20"/>
      <c r="D1548" s="27"/>
      <c r="E1548" s="27"/>
      <c r="F1548" s="27"/>
    </row>
    <row r="1549" spans="2:6" x14ac:dyDescent="0.25">
      <c r="B1549" s="20"/>
      <c r="C1549" s="20"/>
      <c r="D1549" s="27"/>
      <c r="E1549" s="27"/>
      <c r="F1549" s="27"/>
    </row>
    <row r="1550" spans="2:6" x14ac:dyDescent="0.25">
      <c r="B1550" s="20"/>
      <c r="C1550" s="20"/>
      <c r="D1550" s="27"/>
      <c r="E1550" s="27"/>
      <c r="F1550" s="27"/>
    </row>
    <row r="1551" spans="2:6" x14ac:dyDescent="0.25">
      <c r="B1551" s="20"/>
      <c r="C1551" s="20"/>
      <c r="D1551" s="27"/>
      <c r="E1551" s="27"/>
      <c r="F1551" s="27"/>
    </row>
    <row r="1552" spans="2:6" x14ac:dyDescent="0.25">
      <c r="B1552" s="20"/>
      <c r="C1552" s="20"/>
      <c r="D1552" s="27"/>
      <c r="E1552" s="27"/>
      <c r="F1552" s="27"/>
    </row>
    <row r="1553" spans="2:6" x14ac:dyDescent="0.25">
      <c r="B1553" s="20"/>
      <c r="C1553" s="20"/>
      <c r="D1553" s="27"/>
      <c r="E1553" s="27"/>
      <c r="F1553" s="27"/>
    </row>
    <row r="1554" spans="2:6" x14ac:dyDescent="0.25">
      <c r="B1554" s="20"/>
      <c r="C1554" s="20"/>
      <c r="D1554" s="27"/>
      <c r="E1554" s="27"/>
      <c r="F1554" s="27"/>
    </row>
    <row r="1555" spans="2:6" x14ac:dyDescent="0.25">
      <c r="B1555" s="20"/>
      <c r="C1555" s="20"/>
      <c r="D1555" s="27"/>
      <c r="E1555" s="27"/>
      <c r="F1555" s="27"/>
    </row>
    <row r="1556" spans="2:6" x14ac:dyDescent="0.25">
      <c r="B1556" s="20"/>
      <c r="C1556" s="20"/>
      <c r="D1556" s="27"/>
      <c r="E1556" s="27"/>
      <c r="F1556" s="27"/>
    </row>
    <row r="1557" spans="2:6" x14ac:dyDescent="0.25">
      <c r="B1557" s="20"/>
      <c r="C1557" s="20"/>
      <c r="D1557" s="27"/>
      <c r="E1557" s="27"/>
      <c r="F1557" s="27"/>
    </row>
    <row r="1558" spans="2:6" x14ac:dyDescent="0.25">
      <c r="B1558" s="20"/>
      <c r="C1558" s="20"/>
      <c r="D1558" s="27"/>
      <c r="E1558" s="27"/>
      <c r="F1558" s="27"/>
    </row>
    <row r="1559" spans="2:6" x14ac:dyDescent="0.25">
      <c r="B1559" s="20"/>
      <c r="C1559" s="20"/>
      <c r="D1559" s="27"/>
      <c r="E1559" s="27"/>
      <c r="F1559" s="27"/>
    </row>
    <row r="1560" spans="2:6" x14ac:dyDescent="0.25">
      <c r="B1560" s="20"/>
      <c r="C1560" s="20"/>
      <c r="D1560" s="27"/>
      <c r="E1560" s="27"/>
      <c r="F1560" s="27"/>
    </row>
    <row r="1561" spans="2:6" x14ac:dyDescent="0.25">
      <c r="B1561" s="20"/>
      <c r="C1561" s="20"/>
      <c r="D1561" s="27"/>
      <c r="E1561" s="27"/>
      <c r="F1561" s="27"/>
    </row>
    <row r="1562" spans="2:6" x14ac:dyDescent="0.25">
      <c r="B1562" s="20"/>
      <c r="C1562" s="20"/>
      <c r="D1562" s="27"/>
      <c r="E1562" s="27"/>
      <c r="F1562" s="27"/>
    </row>
    <row r="1563" spans="2:6" x14ac:dyDescent="0.25">
      <c r="B1563" s="20"/>
      <c r="C1563" s="20"/>
      <c r="D1563" s="27"/>
      <c r="E1563" s="27"/>
      <c r="F1563" s="27"/>
    </row>
    <row r="1564" spans="2:6" x14ac:dyDescent="0.25">
      <c r="B1564" s="20"/>
      <c r="C1564" s="20"/>
      <c r="D1564" s="27"/>
      <c r="E1564" s="27"/>
      <c r="F1564" s="27"/>
    </row>
    <row r="1565" spans="2:6" x14ac:dyDescent="0.25">
      <c r="B1565" s="20"/>
      <c r="C1565" s="20"/>
      <c r="D1565" s="27"/>
      <c r="E1565" s="27"/>
      <c r="F1565" s="27"/>
    </row>
    <row r="1566" spans="2:6" x14ac:dyDescent="0.25">
      <c r="B1566" s="20"/>
      <c r="C1566" s="20"/>
      <c r="D1566" s="27"/>
      <c r="E1566" s="27"/>
      <c r="F1566" s="27"/>
    </row>
    <row r="1567" spans="2:6" x14ac:dyDescent="0.25">
      <c r="B1567" s="20"/>
      <c r="C1567" s="20"/>
      <c r="D1567" s="27"/>
      <c r="E1567" s="27"/>
      <c r="F1567" s="27"/>
    </row>
    <row r="1568" spans="2:6" x14ac:dyDescent="0.25">
      <c r="B1568" s="20"/>
      <c r="C1568" s="20"/>
      <c r="D1568" s="27"/>
      <c r="E1568" s="27"/>
      <c r="F1568" s="27"/>
    </row>
    <row r="1569" spans="2:6" x14ac:dyDescent="0.25">
      <c r="B1569" s="20"/>
      <c r="C1569" s="20"/>
      <c r="D1569" s="27"/>
      <c r="E1569" s="27"/>
      <c r="F1569" s="27"/>
    </row>
    <row r="1570" spans="2:6" x14ac:dyDescent="0.25">
      <c r="B1570" s="20"/>
      <c r="C1570" s="20"/>
      <c r="D1570" s="27"/>
      <c r="E1570" s="27"/>
      <c r="F1570" s="27"/>
    </row>
    <row r="1571" spans="2:6" x14ac:dyDescent="0.25">
      <c r="B1571" s="20"/>
      <c r="C1571" s="20"/>
      <c r="D1571" s="27"/>
      <c r="E1571" s="27"/>
      <c r="F1571" s="27"/>
    </row>
    <row r="1572" spans="2:6" x14ac:dyDescent="0.25">
      <c r="B1572" s="20"/>
      <c r="C1572" s="20"/>
      <c r="D1572" s="27"/>
      <c r="E1572" s="27"/>
      <c r="F1572" s="27"/>
    </row>
    <row r="1573" spans="2:6" x14ac:dyDescent="0.25">
      <c r="B1573" s="20"/>
      <c r="C1573" s="20"/>
      <c r="D1573" s="27"/>
      <c r="E1573" s="27"/>
      <c r="F1573" s="27"/>
    </row>
    <row r="1574" spans="2:6" x14ac:dyDescent="0.25">
      <c r="B1574" s="20"/>
      <c r="C1574" s="20"/>
      <c r="D1574" s="27"/>
      <c r="E1574" s="27"/>
      <c r="F1574" s="27"/>
    </row>
    <row r="1575" spans="2:6" x14ac:dyDescent="0.25">
      <c r="B1575" s="20"/>
      <c r="C1575" s="20"/>
      <c r="D1575" s="27"/>
      <c r="E1575" s="27"/>
      <c r="F1575" s="27"/>
    </row>
    <row r="1576" spans="2:6" x14ac:dyDescent="0.25">
      <c r="B1576" s="20"/>
      <c r="C1576" s="20"/>
      <c r="D1576" s="27"/>
      <c r="E1576" s="27"/>
      <c r="F1576" s="27"/>
    </row>
    <row r="1577" spans="2:6" x14ac:dyDescent="0.25">
      <c r="B1577" s="20"/>
      <c r="C1577" s="20"/>
      <c r="D1577" s="27"/>
      <c r="E1577" s="27"/>
      <c r="F1577" s="27"/>
    </row>
    <row r="1578" spans="2:6" x14ac:dyDescent="0.25">
      <c r="B1578" s="20"/>
      <c r="C1578" s="20"/>
      <c r="D1578" s="27"/>
      <c r="E1578" s="27"/>
      <c r="F1578" s="27"/>
    </row>
    <row r="1579" spans="2:6" x14ac:dyDescent="0.25">
      <c r="B1579" s="20"/>
      <c r="C1579" s="20"/>
      <c r="D1579" s="27"/>
      <c r="E1579" s="27"/>
      <c r="F1579" s="27"/>
    </row>
    <row r="1580" spans="2:6" x14ac:dyDescent="0.25">
      <c r="B1580" s="20"/>
      <c r="C1580" s="20"/>
      <c r="D1580" s="27"/>
      <c r="E1580" s="27"/>
      <c r="F1580" s="27"/>
    </row>
    <row r="1581" spans="2:6" x14ac:dyDescent="0.25">
      <c r="B1581" s="20"/>
      <c r="C1581" s="20"/>
      <c r="D1581" s="27"/>
      <c r="E1581" s="27"/>
      <c r="F1581" s="27"/>
    </row>
    <row r="1582" spans="2:6" x14ac:dyDescent="0.25">
      <c r="B1582" s="20"/>
      <c r="C1582" s="20"/>
      <c r="D1582" s="27"/>
      <c r="E1582" s="27"/>
      <c r="F1582" s="27"/>
    </row>
    <row r="1583" spans="2:6" x14ac:dyDescent="0.25">
      <c r="B1583" s="20"/>
      <c r="C1583" s="20"/>
      <c r="D1583" s="27"/>
      <c r="E1583" s="27"/>
      <c r="F1583" s="27"/>
    </row>
    <row r="1584" spans="2:6" x14ac:dyDescent="0.25">
      <c r="B1584" s="20"/>
      <c r="C1584" s="20"/>
      <c r="D1584" s="27"/>
      <c r="E1584" s="27"/>
      <c r="F1584" s="27"/>
    </row>
    <row r="1585" spans="2:6" x14ac:dyDescent="0.25">
      <c r="B1585" s="20"/>
      <c r="C1585" s="20"/>
      <c r="D1585" s="27"/>
      <c r="E1585" s="27"/>
      <c r="F1585" s="27"/>
    </row>
    <row r="1586" spans="2:6" x14ac:dyDescent="0.25">
      <c r="B1586" s="20"/>
      <c r="C1586" s="20"/>
      <c r="D1586" s="27"/>
      <c r="E1586" s="27"/>
      <c r="F1586" s="27"/>
    </row>
    <row r="1587" spans="2:6" x14ac:dyDescent="0.25">
      <c r="B1587" s="20"/>
      <c r="C1587" s="20"/>
      <c r="D1587" s="27"/>
      <c r="E1587" s="27"/>
      <c r="F1587" s="27"/>
    </row>
    <row r="1588" spans="2:6" x14ac:dyDescent="0.25">
      <c r="B1588" s="20"/>
      <c r="C1588" s="20"/>
      <c r="D1588" s="27"/>
      <c r="E1588" s="27"/>
      <c r="F1588" s="27"/>
    </row>
    <row r="1589" spans="2:6" x14ac:dyDescent="0.25">
      <c r="B1589" s="20"/>
      <c r="C1589" s="20"/>
      <c r="D1589" s="27"/>
      <c r="E1589" s="27"/>
      <c r="F1589" s="27"/>
    </row>
    <row r="1590" spans="2:6" x14ac:dyDescent="0.25">
      <c r="B1590" s="20"/>
      <c r="C1590" s="20"/>
      <c r="D1590" s="27"/>
      <c r="E1590" s="27"/>
      <c r="F1590" s="27"/>
    </row>
    <row r="1591" spans="2:6" x14ac:dyDescent="0.25">
      <c r="B1591" s="20"/>
      <c r="C1591" s="20"/>
      <c r="D1591" s="27"/>
      <c r="E1591" s="27"/>
      <c r="F1591" s="27"/>
    </row>
    <row r="1592" spans="2:6" x14ac:dyDescent="0.25">
      <c r="B1592" s="20"/>
      <c r="C1592" s="20"/>
      <c r="D1592" s="27"/>
      <c r="E1592" s="27"/>
      <c r="F1592" s="27"/>
    </row>
    <row r="1593" spans="2:6" x14ac:dyDescent="0.25">
      <c r="B1593" s="20"/>
      <c r="C1593" s="20"/>
      <c r="D1593" s="27"/>
      <c r="E1593" s="27"/>
      <c r="F1593" s="27"/>
    </row>
    <row r="1594" spans="2:6" x14ac:dyDescent="0.25">
      <c r="B1594" s="20"/>
      <c r="C1594" s="20"/>
      <c r="D1594" s="27"/>
      <c r="E1594" s="27"/>
      <c r="F1594" s="27"/>
    </row>
    <row r="1595" spans="2:6" x14ac:dyDescent="0.25">
      <c r="B1595" s="20"/>
      <c r="C1595" s="20"/>
      <c r="D1595" s="27"/>
      <c r="E1595" s="27"/>
      <c r="F1595" s="27"/>
    </row>
    <row r="1596" spans="2:6" x14ac:dyDescent="0.25">
      <c r="B1596" s="20"/>
      <c r="C1596" s="20"/>
      <c r="D1596" s="27"/>
      <c r="E1596" s="27"/>
      <c r="F1596" s="27"/>
    </row>
    <row r="1597" spans="2:6" x14ac:dyDescent="0.25">
      <c r="B1597" s="20"/>
      <c r="C1597" s="20"/>
      <c r="D1597" s="27"/>
      <c r="E1597" s="27"/>
      <c r="F1597" s="27"/>
    </row>
    <row r="1598" spans="2:6" x14ac:dyDescent="0.25">
      <c r="B1598" s="20"/>
      <c r="C1598" s="20"/>
      <c r="D1598" s="27"/>
      <c r="E1598" s="27"/>
      <c r="F1598" s="27"/>
    </row>
    <row r="1599" spans="2:6" x14ac:dyDescent="0.25">
      <c r="B1599" s="20"/>
      <c r="C1599" s="20"/>
      <c r="D1599" s="27"/>
      <c r="E1599" s="27"/>
      <c r="F1599" s="27"/>
    </row>
    <row r="1600" spans="2:6" x14ac:dyDescent="0.25">
      <c r="B1600" s="20"/>
      <c r="C1600" s="20"/>
      <c r="D1600" s="27"/>
      <c r="E1600" s="27"/>
      <c r="F1600" s="27"/>
    </row>
    <row r="1601" spans="2:6" x14ac:dyDescent="0.25">
      <c r="B1601" s="20"/>
      <c r="C1601" s="20"/>
      <c r="D1601" s="27"/>
      <c r="E1601" s="27"/>
      <c r="F1601" s="27"/>
    </row>
    <row r="1602" spans="2:6" x14ac:dyDescent="0.25">
      <c r="B1602" s="20"/>
      <c r="C1602" s="20"/>
      <c r="D1602" s="27"/>
      <c r="E1602" s="27"/>
      <c r="F1602" s="27"/>
    </row>
    <row r="1603" spans="2:6" x14ac:dyDescent="0.25">
      <c r="B1603" s="20"/>
      <c r="C1603" s="20"/>
      <c r="D1603" s="27"/>
      <c r="E1603" s="27"/>
      <c r="F1603" s="27"/>
    </row>
    <row r="1604" spans="2:6" x14ac:dyDescent="0.25">
      <c r="B1604" s="20"/>
      <c r="C1604" s="20"/>
      <c r="D1604" s="27"/>
      <c r="E1604" s="27"/>
      <c r="F1604" s="27"/>
    </row>
    <row r="1605" spans="2:6" x14ac:dyDescent="0.25">
      <c r="B1605" s="20"/>
      <c r="C1605" s="20"/>
      <c r="D1605" s="27"/>
      <c r="E1605" s="27"/>
      <c r="F1605" s="27"/>
    </row>
    <row r="1606" spans="2:6" x14ac:dyDescent="0.25">
      <c r="B1606" s="20"/>
      <c r="C1606" s="20"/>
      <c r="D1606" s="27"/>
      <c r="E1606" s="27"/>
      <c r="F1606" s="27"/>
    </row>
    <row r="1607" spans="2:6" x14ac:dyDescent="0.25">
      <c r="B1607" s="20"/>
      <c r="C1607" s="20"/>
      <c r="D1607" s="27"/>
      <c r="E1607" s="27"/>
      <c r="F1607" s="27"/>
    </row>
    <row r="1608" spans="2:6" x14ac:dyDescent="0.25">
      <c r="B1608" s="20"/>
      <c r="C1608" s="20"/>
      <c r="D1608" s="27"/>
      <c r="E1608" s="27"/>
      <c r="F1608" s="27"/>
    </row>
    <row r="1609" spans="2:6" x14ac:dyDescent="0.25">
      <c r="B1609" s="20"/>
      <c r="C1609" s="20"/>
      <c r="D1609" s="27"/>
      <c r="E1609" s="27"/>
      <c r="F1609" s="27"/>
    </row>
    <row r="1610" spans="2:6" x14ac:dyDescent="0.25">
      <c r="B1610" s="20"/>
      <c r="C1610" s="20"/>
      <c r="D1610" s="27"/>
      <c r="E1610" s="27"/>
      <c r="F1610" s="27"/>
    </row>
    <row r="1611" spans="2:6" x14ac:dyDescent="0.25">
      <c r="B1611" s="20"/>
      <c r="C1611" s="20"/>
      <c r="D1611" s="27"/>
      <c r="E1611" s="27"/>
      <c r="F1611" s="27"/>
    </row>
    <row r="1612" spans="2:6" x14ac:dyDescent="0.25">
      <c r="B1612" s="20"/>
      <c r="C1612" s="20"/>
      <c r="D1612" s="27"/>
      <c r="E1612" s="27"/>
      <c r="F1612" s="27"/>
    </row>
    <row r="1613" spans="2:6" x14ac:dyDescent="0.25">
      <c r="B1613" s="20"/>
      <c r="C1613" s="20"/>
      <c r="D1613" s="27"/>
      <c r="E1613" s="27"/>
      <c r="F1613" s="27"/>
    </row>
    <row r="1614" spans="2:6" x14ac:dyDescent="0.25">
      <c r="B1614" s="20"/>
      <c r="C1614" s="20"/>
      <c r="D1614" s="27"/>
      <c r="E1614" s="27"/>
      <c r="F1614" s="27"/>
    </row>
    <row r="1615" spans="2:6" x14ac:dyDescent="0.25">
      <c r="B1615" s="20"/>
      <c r="C1615" s="20"/>
      <c r="D1615" s="27"/>
      <c r="E1615" s="27"/>
      <c r="F1615" s="27"/>
    </row>
    <row r="1616" spans="2:6" x14ac:dyDescent="0.25">
      <c r="B1616" s="20"/>
      <c r="C1616" s="20"/>
      <c r="D1616" s="27"/>
      <c r="E1616" s="27"/>
      <c r="F1616" s="27"/>
    </row>
    <row r="1617" spans="2:6" x14ac:dyDescent="0.25">
      <c r="B1617" s="20"/>
      <c r="C1617" s="20"/>
      <c r="D1617" s="27"/>
      <c r="E1617" s="27"/>
      <c r="F1617" s="27"/>
    </row>
    <row r="1618" spans="2:6" x14ac:dyDescent="0.25">
      <c r="B1618" s="20"/>
      <c r="C1618" s="20"/>
      <c r="D1618" s="27"/>
      <c r="E1618" s="27"/>
      <c r="F1618" s="27"/>
    </row>
    <row r="1619" spans="2:6" x14ac:dyDescent="0.25">
      <c r="B1619" s="20"/>
      <c r="C1619" s="20"/>
      <c r="D1619" s="27"/>
      <c r="E1619" s="27"/>
      <c r="F1619" s="27"/>
    </row>
    <row r="1620" spans="2:6" x14ac:dyDescent="0.25">
      <c r="B1620" s="20"/>
      <c r="C1620" s="20"/>
      <c r="D1620" s="27"/>
      <c r="E1620" s="27"/>
      <c r="F1620" s="27"/>
    </row>
    <row r="1621" spans="2:6" x14ac:dyDescent="0.25">
      <c r="B1621" s="20"/>
      <c r="C1621" s="20"/>
      <c r="D1621" s="27"/>
      <c r="E1621" s="27"/>
      <c r="F1621" s="27"/>
    </row>
    <row r="1622" spans="2:6" x14ac:dyDescent="0.25">
      <c r="B1622" s="20"/>
      <c r="C1622" s="20"/>
      <c r="D1622" s="27"/>
      <c r="E1622" s="27"/>
      <c r="F1622" s="27"/>
    </row>
    <row r="1623" spans="2:6" x14ac:dyDescent="0.25">
      <c r="B1623" s="20"/>
      <c r="C1623" s="20"/>
      <c r="D1623" s="27"/>
      <c r="E1623" s="27"/>
      <c r="F1623" s="27"/>
    </row>
    <row r="1624" spans="2:6" x14ac:dyDescent="0.25">
      <c r="B1624" s="20"/>
      <c r="C1624" s="20"/>
      <c r="D1624" s="27"/>
      <c r="E1624" s="27"/>
      <c r="F1624" s="27"/>
    </row>
    <row r="1625" spans="2:6" x14ac:dyDescent="0.25">
      <c r="B1625" s="20"/>
      <c r="C1625" s="20"/>
      <c r="D1625" s="27"/>
      <c r="E1625" s="27"/>
      <c r="F1625" s="27"/>
    </row>
    <row r="1626" spans="2:6" x14ac:dyDescent="0.25">
      <c r="B1626" s="20"/>
      <c r="C1626" s="20"/>
      <c r="D1626" s="27"/>
      <c r="E1626" s="27"/>
      <c r="F1626" s="27"/>
    </row>
    <row r="1627" spans="2:6" x14ac:dyDescent="0.25">
      <c r="B1627" s="20"/>
      <c r="C1627" s="20"/>
      <c r="D1627" s="27"/>
      <c r="E1627" s="27"/>
      <c r="F1627" s="27"/>
    </row>
    <row r="1628" spans="2:6" x14ac:dyDescent="0.25">
      <c r="B1628" s="20"/>
      <c r="C1628" s="20"/>
      <c r="D1628" s="27"/>
      <c r="E1628" s="27"/>
      <c r="F1628" s="27"/>
    </row>
    <row r="1629" spans="2:6" x14ac:dyDescent="0.25">
      <c r="B1629" s="20"/>
      <c r="C1629" s="20"/>
      <c r="D1629" s="27"/>
      <c r="E1629" s="27"/>
      <c r="F1629" s="27"/>
    </row>
    <row r="1630" spans="2:6" x14ac:dyDescent="0.25">
      <c r="B1630" s="20"/>
      <c r="C1630" s="20"/>
      <c r="D1630" s="27"/>
      <c r="E1630" s="27"/>
      <c r="F1630" s="27"/>
    </row>
    <row r="1631" spans="2:6" x14ac:dyDescent="0.25">
      <c r="B1631" s="20"/>
      <c r="C1631" s="20"/>
      <c r="D1631" s="27"/>
      <c r="E1631" s="27"/>
      <c r="F1631" s="27"/>
    </row>
    <row r="1632" spans="2:6" x14ac:dyDescent="0.25">
      <c r="B1632" s="20"/>
      <c r="C1632" s="20"/>
      <c r="D1632" s="27"/>
      <c r="E1632" s="27"/>
      <c r="F1632" s="27"/>
    </row>
    <row r="1633" spans="2:6" x14ac:dyDescent="0.25">
      <c r="B1633" s="20"/>
      <c r="C1633" s="20"/>
      <c r="D1633" s="27"/>
      <c r="E1633" s="27"/>
      <c r="F1633" s="27"/>
    </row>
    <row r="1634" spans="2:6" x14ac:dyDescent="0.25">
      <c r="B1634" s="20"/>
      <c r="C1634" s="20"/>
      <c r="D1634" s="27"/>
      <c r="E1634" s="27"/>
      <c r="F1634" s="27"/>
    </row>
    <row r="1635" spans="2:6" x14ac:dyDescent="0.25">
      <c r="B1635" s="20"/>
      <c r="C1635" s="20"/>
      <c r="D1635" s="27"/>
      <c r="E1635" s="27"/>
      <c r="F1635" s="27"/>
    </row>
    <row r="1636" spans="2:6" x14ac:dyDescent="0.25">
      <c r="B1636" s="20"/>
      <c r="C1636" s="20"/>
      <c r="D1636" s="27"/>
      <c r="E1636" s="27"/>
      <c r="F1636" s="27"/>
    </row>
    <row r="1637" spans="2:6" x14ac:dyDescent="0.25">
      <c r="B1637" s="20"/>
      <c r="C1637" s="20"/>
      <c r="D1637" s="27"/>
      <c r="E1637" s="27"/>
      <c r="F1637" s="27"/>
    </row>
    <row r="1638" spans="2:6" x14ac:dyDescent="0.25">
      <c r="B1638" s="20"/>
      <c r="C1638" s="20"/>
      <c r="D1638" s="27"/>
      <c r="E1638" s="27"/>
      <c r="F1638" s="27"/>
    </row>
    <row r="1639" spans="2:6" x14ac:dyDescent="0.25">
      <c r="B1639" s="20"/>
      <c r="C1639" s="20"/>
      <c r="D1639" s="27"/>
      <c r="E1639" s="27"/>
      <c r="F1639" s="27"/>
    </row>
    <row r="1640" spans="2:6" x14ac:dyDescent="0.25">
      <c r="B1640" s="20"/>
      <c r="C1640" s="20"/>
      <c r="D1640" s="27"/>
      <c r="E1640" s="27"/>
      <c r="F1640" s="27"/>
    </row>
    <row r="1641" spans="2:6" x14ac:dyDescent="0.25">
      <c r="B1641" s="20"/>
      <c r="C1641" s="20"/>
      <c r="D1641" s="27"/>
      <c r="E1641" s="27"/>
      <c r="F1641" s="27"/>
    </row>
    <row r="1642" spans="2:6" x14ac:dyDescent="0.25">
      <c r="B1642" s="20"/>
      <c r="C1642" s="20"/>
      <c r="D1642" s="27"/>
      <c r="E1642" s="27"/>
      <c r="F1642" s="27"/>
    </row>
    <row r="1643" spans="2:6" x14ac:dyDescent="0.25">
      <c r="B1643" s="20"/>
      <c r="C1643" s="20"/>
      <c r="D1643" s="27"/>
      <c r="E1643" s="27"/>
      <c r="F1643" s="27"/>
    </row>
    <row r="1644" spans="2:6" x14ac:dyDescent="0.25">
      <c r="B1644" s="20"/>
      <c r="C1644" s="20"/>
      <c r="D1644" s="27"/>
      <c r="E1644" s="27"/>
      <c r="F1644" s="27"/>
    </row>
    <row r="1645" spans="2:6" x14ac:dyDescent="0.25">
      <c r="B1645" s="20"/>
      <c r="C1645" s="20"/>
      <c r="D1645" s="27"/>
      <c r="E1645" s="27"/>
      <c r="F1645" s="27"/>
    </row>
    <row r="1646" spans="2:6" x14ac:dyDescent="0.25">
      <c r="B1646" s="20"/>
      <c r="C1646" s="20"/>
      <c r="D1646" s="27"/>
      <c r="E1646" s="27"/>
      <c r="F1646" s="27"/>
    </row>
    <row r="1647" spans="2:6" x14ac:dyDescent="0.25">
      <c r="B1647" s="20"/>
      <c r="C1647" s="20"/>
      <c r="D1647" s="27"/>
      <c r="E1647" s="27"/>
      <c r="F1647" s="27"/>
    </row>
    <row r="1648" spans="2:6" x14ac:dyDescent="0.25">
      <c r="B1648" s="20"/>
      <c r="C1648" s="20"/>
      <c r="D1648" s="27"/>
      <c r="E1648" s="27"/>
      <c r="F1648" s="27"/>
    </row>
    <row r="1649" spans="2:6" x14ac:dyDescent="0.25">
      <c r="B1649" s="20"/>
      <c r="C1649" s="20"/>
      <c r="D1649" s="27"/>
      <c r="E1649" s="27"/>
      <c r="F1649" s="27"/>
    </row>
    <row r="1650" spans="2:6" x14ac:dyDescent="0.25">
      <c r="B1650" s="20"/>
      <c r="C1650" s="20"/>
      <c r="D1650" s="27"/>
      <c r="E1650" s="27"/>
      <c r="F1650" s="27"/>
    </row>
    <row r="1651" spans="2:6" x14ac:dyDescent="0.25">
      <c r="B1651" s="20"/>
      <c r="C1651" s="20"/>
      <c r="D1651" s="27"/>
      <c r="E1651" s="27"/>
      <c r="F1651" s="27"/>
    </row>
    <row r="1652" spans="2:6" x14ac:dyDescent="0.25">
      <c r="B1652" s="20"/>
      <c r="C1652" s="20"/>
      <c r="D1652" s="27"/>
      <c r="E1652" s="27"/>
      <c r="F1652" s="27"/>
    </row>
    <row r="1653" spans="2:6" x14ac:dyDescent="0.25">
      <c r="B1653" s="20"/>
      <c r="C1653" s="20"/>
      <c r="D1653" s="27"/>
      <c r="E1653" s="27"/>
      <c r="F1653" s="27"/>
    </row>
    <row r="1654" spans="2:6" x14ac:dyDescent="0.25">
      <c r="B1654" s="20"/>
      <c r="C1654" s="20"/>
      <c r="D1654" s="27"/>
      <c r="E1654" s="27"/>
      <c r="F1654" s="27"/>
    </row>
    <row r="1655" spans="2:6" x14ac:dyDescent="0.25">
      <c r="B1655" s="20"/>
      <c r="C1655" s="20"/>
      <c r="D1655" s="27"/>
      <c r="E1655" s="27"/>
      <c r="F1655" s="27"/>
    </row>
    <row r="1656" spans="2:6" x14ac:dyDescent="0.25">
      <c r="B1656" s="20"/>
      <c r="C1656" s="20"/>
      <c r="D1656" s="27"/>
      <c r="E1656" s="27"/>
      <c r="F1656" s="27"/>
    </row>
    <row r="1657" spans="2:6" x14ac:dyDescent="0.25">
      <c r="B1657" s="20"/>
      <c r="C1657" s="20"/>
      <c r="D1657" s="27"/>
      <c r="E1657" s="27"/>
      <c r="F1657" s="27"/>
    </row>
    <row r="1658" spans="2:6" x14ac:dyDescent="0.25">
      <c r="B1658" s="20"/>
      <c r="C1658" s="20"/>
      <c r="D1658" s="27"/>
      <c r="E1658" s="27"/>
      <c r="F1658" s="27"/>
    </row>
    <row r="1659" spans="2:6" x14ac:dyDescent="0.25">
      <c r="B1659" s="20"/>
      <c r="C1659" s="20"/>
      <c r="D1659" s="27"/>
      <c r="E1659" s="27"/>
      <c r="F1659" s="27"/>
    </row>
    <row r="1660" spans="2:6" x14ac:dyDescent="0.25">
      <c r="B1660" s="20"/>
      <c r="C1660" s="20"/>
      <c r="D1660" s="27"/>
      <c r="E1660" s="27"/>
      <c r="F1660" s="27"/>
    </row>
    <row r="1661" spans="2:6" x14ac:dyDescent="0.25">
      <c r="B1661" s="20"/>
      <c r="C1661" s="20"/>
      <c r="D1661" s="27"/>
      <c r="E1661" s="27"/>
      <c r="F1661" s="27"/>
    </row>
    <row r="1662" spans="2:6" x14ac:dyDescent="0.25">
      <c r="B1662" s="20"/>
      <c r="C1662" s="20"/>
      <c r="D1662" s="27"/>
      <c r="E1662" s="27"/>
      <c r="F1662" s="27"/>
    </row>
    <row r="1663" spans="2:6" x14ac:dyDescent="0.25">
      <c r="B1663" s="20"/>
      <c r="C1663" s="20"/>
      <c r="D1663" s="27"/>
      <c r="E1663" s="27"/>
      <c r="F1663" s="27"/>
    </row>
    <row r="1664" spans="2:6" x14ac:dyDescent="0.25">
      <c r="B1664" s="20"/>
      <c r="C1664" s="20"/>
      <c r="D1664" s="27"/>
      <c r="E1664" s="27"/>
      <c r="F1664" s="27"/>
    </row>
    <row r="1665" spans="2:6" x14ac:dyDescent="0.25">
      <c r="B1665" s="20"/>
      <c r="C1665" s="20"/>
      <c r="D1665" s="27"/>
      <c r="E1665" s="27"/>
      <c r="F1665" s="27"/>
    </row>
    <row r="1666" spans="2:6" x14ac:dyDescent="0.25">
      <c r="B1666" s="20"/>
      <c r="C1666" s="20"/>
      <c r="D1666" s="27"/>
      <c r="E1666" s="27"/>
      <c r="F1666" s="27"/>
    </row>
    <row r="1667" spans="2:6" x14ac:dyDescent="0.25">
      <c r="B1667" s="20"/>
      <c r="C1667" s="20"/>
      <c r="D1667" s="27"/>
      <c r="E1667" s="27"/>
      <c r="F1667" s="27"/>
    </row>
    <row r="1668" spans="2:6" x14ac:dyDescent="0.25">
      <c r="B1668" s="20"/>
      <c r="C1668" s="20"/>
      <c r="D1668" s="27"/>
      <c r="E1668" s="27"/>
      <c r="F1668" s="27"/>
    </row>
    <row r="1669" spans="2:6" x14ac:dyDescent="0.25">
      <c r="B1669" s="20"/>
      <c r="C1669" s="20"/>
      <c r="D1669" s="27"/>
      <c r="E1669" s="27"/>
      <c r="F1669" s="27"/>
    </row>
    <row r="1670" spans="2:6" x14ac:dyDescent="0.25">
      <c r="B1670" s="20"/>
      <c r="C1670" s="20"/>
      <c r="D1670" s="27"/>
      <c r="E1670" s="27"/>
      <c r="F1670" s="27"/>
    </row>
    <row r="1671" spans="2:6" x14ac:dyDescent="0.25">
      <c r="B1671" s="20"/>
      <c r="C1671" s="20"/>
      <c r="D1671" s="27"/>
      <c r="E1671" s="27"/>
      <c r="F1671" s="27"/>
    </row>
    <row r="1672" spans="2:6" x14ac:dyDescent="0.25">
      <c r="B1672" s="20"/>
      <c r="C1672" s="20"/>
      <c r="D1672" s="27"/>
      <c r="E1672" s="27"/>
      <c r="F1672" s="27"/>
    </row>
    <row r="1673" spans="2:6" x14ac:dyDescent="0.25">
      <c r="B1673" s="20"/>
      <c r="C1673" s="20"/>
      <c r="D1673" s="27"/>
      <c r="E1673" s="27"/>
      <c r="F1673" s="27"/>
    </row>
    <row r="1674" spans="2:6" x14ac:dyDescent="0.25">
      <c r="B1674" s="20"/>
      <c r="C1674" s="20"/>
      <c r="D1674" s="27"/>
      <c r="E1674" s="27"/>
      <c r="F1674" s="27"/>
    </row>
    <row r="1675" spans="2:6" x14ac:dyDescent="0.25">
      <c r="B1675" s="20"/>
      <c r="C1675" s="20"/>
      <c r="D1675" s="27"/>
      <c r="E1675" s="27"/>
      <c r="F1675" s="27"/>
    </row>
    <row r="1676" spans="2:6" x14ac:dyDescent="0.25">
      <c r="B1676" s="20"/>
      <c r="C1676" s="20"/>
      <c r="D1676" s="27"/>
      <c r="E1676" s="27"/>
      <c r="F1676" s="27"/>
    </row>
    <row r="1677" spans="2:6" x14ac:dyDescent="0.25">
      <c r="B1677" s="20"/>
      <c r="C1677" s="20"/>
      <c r="D1677" s="27"/>
      <c r="E1677" s="27"/>
      <c r="F1677" s="27"/>
    </row>
    <row r="1678" spans="2:6" x14ac:dyDescent="0.25">
      <c r="B1678" s="20"/>
      <c r="C1678" s="20"/>
      <c r="D1678" s="27"/>
      <c r="E1678" s="27"/>
      <c r="F1678" s="27"/>
    </row>
    <row r="1679" spans="2:6" x14ac:dyDescent="0.25">
      <c r="B1679" s="20"/>
      <c r="C1679" s="20"/>
      <c r="D1679" s="27"/>
      <c r="E1679" s="27"/>
      <c r="F1679" s="27"/>
    </row>
    <row r="1680" spans="2:6" x14ac:dyDescent="0.25">
      <c r="B1680" s="20"/>
      <c r="C1680" s="20"/>
      <c r="D1680" s="27"/>
      <c r="E1680" s="27"/>
      <c r="F1680" s="27"/>
    </row>
    <row r="1681" spans="2:6" x14ac:dyDescent="0.25">
      <c r="B1681" s="20"/>
      <c r="C1681" s="20"/>
      <c r="D1681" s="27"/>
      <c r="E1681" s="27"/>
      <c r="F1681" s="27"/>
    </row>
    <row r="1682" spans="2:6" x14ac:dyDescent="0.25">
      <c r="B1682" s="20"/>
      <c r="C1682" s="20"/>
      <c r="D1682" s="27"/>
      <c r="E1682" s="27"/>
      <c r="F1682" s="27"/>
    </row>
    <row r="1683" spans="2:6" x14ac:dyDescent="0.25">
      <c r="B1683" s="20"/>
      <c r="C1683" s="20"/>
      <c r="D1683" s="27"/>
      <c r="E1683" s="27"/>
      <c r="F1683" s="27"/>
    </row>
    <row r="1684" spans="2:6" x14ac:dyDescent="0.25">
      <c r="B1684" s="20"/>
      <c r="C1684" s="20"/>
      <c r="D1684" s="27"/>
      <c r="E1684" s="27"/>
      <c r="F1684" s="27"/>
    </row>
    <row r="1685" spans="2:6" x14ac:dyDescent="0.25">
      <c r="B1685" s="20"/>
      <c r="C1685" s="20"/>
      <c r="D1685" s="27"/>
      <c r="E1685" s="27"/>
      <c r="F1685" s="27"/>
    </row>
    <row r="1686" spans="2:6" x14ac:dyDescent="0.25">
      <c r="B1686" s="20"/>
      <c r="C1686" s="20"/>
      <c r="D1686" s="27"/>
      <c r="E1686" s="27"/>
      <c r="F1686" s="27"/>
    </row>
    <row r="1687" spans="2:6" x14ac:dyDescent="0.25">
      <c r="B1687" s="20"/>
      <c r="C1687" s="20"/>
      <c r="D1687" s="27"/>
      <c r="E1687" s="27"/>
      <c r="F1687" s="27"/>
    </row>
    <row r="1688" spans="2:6" x14ac:dyDescent="0.25">
      <c r="B1688" s="20"/>
      <c r="C1688" s="20"/>
      <c r="D1688" s="27"/>
      <c r="E1688" s="27"/>
      <c r="F1688" s="27"/>
    </row>
    <row r="1689" spans="2:6" x14ac:dyDescent="0.25">
      <c r="B1689" s="20"/>
      <c r="C1689" s="20"/>
      <c r="D1689" s="27"/>
      <c r="E1689" s="27"/>
      <c r="F1689" s="27"/>
    </row>
    <row r="1690" spans="2:6" x14ac:dyDescent="0.25">
      <c r="B1690" s="20"/>
      <c r="C1690" s="20"/>
      <c r="D1690" s="27"/>
      <c r="E1690" s="27"/>
      <c r="F1690" s="27"/>
    </row>
    <row r="1691" spans="2:6" x14ac:dyDescent="0.25">
      <c r="B1691" s="20"/>
      <c r="C1691" s="20"/>
      <c r="D1691" s="27"/>
      <c r="E1691" s="27"/>
      <c r="F1691" s="27"/>
    </row>
    <row r="1692" spans="2:6" x14ac:dyDescent="0.25">
      <c r="B1692" s="20"/>
      <c r="C1692" s="20"/>
      <c r="D1692" s="27"/>
      <c r="E1692" s="27"/>
      <c r="F1692" s="27"/>
    </row>
    <row r="1693" spans="2:6" x14ac:dyDescent="0.25">
      <c r="B1693" s="20"/>
      <c r="C1693" s="20"/>
      <c r="D1693" s="27"/>
      <c r="E1693" s="27"/>
      <c r="F1693" s="27"/>
    </row>
    <row r="1694" spans="2:6" x14ac:dyDescent="0.25">
      <c r="B1694" s="20"/>
      <c r="C1694" s="20"/>
      <c r="D1694" s="27"/>
      <c r="E1694" s="27"/>
      <c r="F1694" s="27"/>
    </row>
    <row r="1695" spans="2:6" x14ac:dyDescent="0.25">
      <c r="B1695" s="20"/>
      <c r="C1695" s="20"/>
      <c r="D1695" s="27"/>
      <c r="E1695" s="27"/>
      <c r="F1695" s="27"/>
    </row>
    <row r="1696" spans="2:6" x14ac:dyDescent="0.25">
      <c r="B1696" s="20"/>
      <c r="C1696" s="20"/>
      <c r="D1696" s="27"/>
      <c r="E1696" s="27"/>
      <c r="F1696" s="27"/>
    </row>
    <row r="1697" spans="2:6" x14ac:dyDescent="0.25">
      <c r="B1697" s="20"/>
      <c r="C1697" s="20"/>
      <c r="D1697" s="27"/>
      <c r="E1697" s="27"/>
      <c r="F1697" s="27"/>
    </row>
    <row r="1698" spans="2:6" x14ac:dyDescent="0.25">
      <c r="B1698" s="20"/>
      <c r="C1698" s="20"/>
      <c r="D1698" s="27"/>
      <c r="E1698" s="27"/>
      <c r="F1698" s="27"/>
    </row>
    <row r="1699" spans="2:6" x14ac:dyDescent="0.25">
      <c r="B1699" s="20"/>
      <c r="C1699" s="20"/>
      <c r="D1699" s="27"/>
      <c r="E1699" s="27"/>
      <c r="F1699" s="27"/>
    </row>
    <row r="1700" spans="2:6" x14ac:dyDescent="0.25">
      <c r="B1700" s="20"/>
      <c r="C1700" s="20"/>
      <c r="D1700" s="27"/>
      <c r="E1700" s="27"/>
      <c r="F1700" s="27"/>
    </row>
    <row r="1701" spans="2:6" x14ac:dyDescent="0.25">
      <c r="B1701" s="20"/>
      <c r="C1701" s="20"/>
      <c r="D1701" s="27"/>
      <c r="E1701" s="27"/>
      <c r="F1701" s="27"/>
    </row>
    <row r="1702" spans="2:6" x14ac:dyDescent="0.25">
      <c r="B1702" s="20"/>
      <c r="C1702" s="20"/>
      <c r="D1702" s="27"/>
      <c r="E1702" s="27"/>
      <c r="F1702" s="27"/>
    </row>
    <row r="1703" spans="2:6" x14ac:dyDescent="0.25">
      <c r="B1703" s="20"/>
      <c r="C1703" s="20"/>
      <c r="D1703" s="27"/>
      <c r="E1703" s="27"/>
      <c r="F1703" s="27"/>
    </row>
    <row r="1704" spans="2:6" x14ac:dyDescent="0.25">
      <c r="B1704" s="20"/>
      <c r="C1704" s="20"/>
      <c r="D1704" s="27"/>
      <c r="E1704" s="27"/>
      <c r="F1704" s="27"/>
    </row>
    <row r="1705" spans="2:6" x14ac:dyDescent="0.25">
      <c r="B1705" s="20"/>
      <c r="C1705" s="20"/>
      <c r="D1705" s="27"/>
      <c r="E1705" s="27"/>
      <c r="F1705" s="27"/>
    </row>
    <row r="1706" spans="2:6" x14ac:dyDescent="0.25">
      <c r="B1706" s="20"/>
      <c r="C1706" s="20"/>
      <c r="D1706" s="27"/>
      <c r="E1706" s="27"/>
      <c r="F1706" s="27"/>
    </row>
    <row r="1707" spans="2:6" x14ac:dyDescent="0.25">
      <c r="B1707" s="20"/>
      <c r="C1707" s="20"/>
      <c r="D1707" s="27"/>
      <c r="E1707" s="27"/>
      <c r="F1707" s="27"/>
    </row>
    <row r="1708" spans="2:6" x14ac:dyDescent="0.25">
      <c r="B1708" s="20"/>
      <c r="C1708" s="20"/>
      <c r="D1708" s="27"/>
      <c r="E1708" s="27"/>
      <c r="F1708" s="27"/>
    </row>
    <row r="1709" spans="2:6" x14ac:dyDescent="0.25">
      <c r="B1709" s="20"/>
      <c r="C1709" s="20"/>
      <c r="D1709" s="27"/>
      <c r="E1709" s="27"/>
      <c r="F1709" s="27"/>
    </row>
    <row r="1710" spans="2:6" x14ac:dyDescent="0.25">
      <c r="B1710" s="20"/>
      <c r="C1710" s="20"/>
      <c r="D1710" s="27"/>
      <c r="E1710" s="27"/>
      <c r="F1710" s="27"/>
    </row>
    <row r="1711" spans="2:6" x14ac:dyDescent="0.25">
      <c r="B1711" s="20"/>
      <c r="C1711" s="20"/>
      <c r="D1711" s="27"/>
      <c r="E1711" s="27"/>
      <c r="F1711" s="27"/>
    </row>
    <row r="1712" spans="2:6" x14ac:dyDescent="0.25">
      <c r="B1712" s="20"/>
      <c r="C1712" s="20"/>
      <c r="D1712" s="27"/>
      <c r="E1712" s="27"/>
      <c r="F1712" s="27"/>
    </row>
    <row r="1713" spans="2:6" x14ac:dyDescent="0.25">
      <c r="B1713" s="20"/>
      <c r="C1713" s="20"/>
      <c r="D1713" s="27"/>
      <c r="E1713" s="27"/>
      <c r="F1713" s="27"/>
    </row>
    <row r="1714" spans="2:6" x14ac:dyDescent="0.25">
      <c r="B1714" s="20"/>
      <c r="C1714" s="20"/>
      <c r="D1714" s="27"/>
      <c r="E1714" s="27"/>
      <c r="F1714" s="27"/>
    </row>
    <row r="1715" spans="2:6" x14ac:dyDescent="0.25">
      <c r="B1715" s="20"/>
      <c r="C1715" s="20"/>
      <c r="D1715" s="27"/>
      <c r="E1715" s="27"/>
      <c r="F1715" s="27"/>
    </row>
    <row r="1716" spans="2:6" x14ac:dyDescent="0.25">
      <c r="B1716" s="20"/>
      <c r="C1716" s="20"/>
      <c r="D1716" s="27"/>
      <c r="E1716" s="27"/>
      <c r="F1716" s="27"/>
    </row>
    <row r="1717" spans="2:6" x14ac:dyDescent="0.25">
      <c r="B1717" s="20"/>
      <c r="C1717" s="20"/>
      <c r="D1717" s="27"/>
      <c r="E1717" s="27"/>
      <c r="F1717" s="27"/>
    </row>
    <row r="1718" spans="2:6" x14ac:dyDescent="0.25">
      <c r="B1718" s="20"/>
      <c r="C1718" s="20"/>
      <c r="D1718" s="27"/>
      <c r="E1718" s="27"/>
      <c r="F1718" s="27"/>
    </row>
    <row r="1719" spans="2:6" x14ac:dyDescent="0.25">
      <c r="B1719" s="20"/>
      <c r="C1719" s="20"/>
      <c r="D1719" s="27"/>
      <c r="E1719" s="27"/>
      <c r="F1719" s="27"/>
    </row>
    <row r="1720" spans="2:6" x14ac:dyDescent="0.25">
      <c r="B1720" s="20"/>
      <c r="C1720" s="20"/>
      <c r="D1720" s="27"/>
      <c r="E1720" s="27"/>
      <c r="F1720" s="27"/>
    </row>
    <row r="1721" spans="2:6" x14ac:dyDescent="0.25">
      <c r="B1721" s="20"/>
      <c r="C1721" s="20"/>
      <c r="D1721" s="27"/>
      <c r="E1721" s="27"/>
      <c r="F1721" s="27"/>
    </row>
    <row r="1722" spans="2:6" x14ac:dyDescent="0.25">
      <c r="B1722" s="20"/>
      <c r="C1722" s="20"/>
      <c r="D1722" s="27"/>
      <c r="E1722" s="27"/>
      <c r="F1722" s="27"/>
    </row>
    <row r="1723" spans="2:6" x14ac:dyDescent="0.25">
      <c r="B1723" s="20"/>
      <c r="C1723" s="20"/>
      <c r="D1723" s="27"/>
      <c r="E1723" s="27"/>
      <c r="F1723" s="27"/>
    </row>
    <row r="1724" spans="2:6" x14ac:dyDescent="0.25">
      <c r="B1724" s="20"/>
      <c r="C1724" s="20"/>
      <c r="D1724" s="27"/>
      <c r="E1724" s="27"/>
      <c r="F1724" s="27"/>
    </row>
    <row r="1725" spans="2:6" x14ac:dyDescent="0.25">
      <c r="B1725" s="20"/>
      <c r="C1725" s="20"/>
      <c r="D1725" s="27"/>
      <c r="E1725" s="27"/>
      <c r="F1725" s="27"/>
    </row>
    <row r="1726" spans="2:6" x14ac:dyDescent="0.25">
      <c r="B1726" s="20"/>
      <c r="C1726" s="20"/>
      <c r="D1726" s="27"/>
      <c r="E1726" s="27"/>
      <c r="F1726" s="27"/>
    </row>
    <row r="1727" spans="2:6" x14ac:dyDescent="0.25">
      <c r="B1727" s="20"/>
      <c r="C1727" s="20"/>
      <c r="D1727" s="27"/>
      <c r="E1727" s="27"/>
      <c r="F1727" s="27"/>
    </row>
    <row r="1728" spans="2:6" x14ac:dyDescent="0.25">
      <c r="B1728" s="20"/>
      <c r="C1728" s="20"/>
      <c r="D1728" s="27"/>
      <c r="E1728" s="27"/>
      <c r="F1728" s="27"/>
    </row>
    <row r="1729" spans="2:6" x14ac:dyDescent="0.25">
      <c r="B1729" s="20"/>
      <c r="C1729" s="20"/>
      <c r="D1729" s="27"/>
      <c r="E1729" s="27"/>
      <c r="F1729" s="27"/>
    </row>
    <row r="1730" spans="2:6" x14ac:dyDescent="0.25">
      <c r="B1730" s="20"/>
      <c r="C1730" s="20"/>
      <c r="D1730" s="27"/>
      <c r="E1730" s="27"/>
      <c r="F1730" s="27"/>
    </row>
    <row r="1731" spans="2:6" x14ac:dyDescent="0.25">
      <c r="B1731" s="20"/>
      <c r="C1731" s="20"/>
      <c r="D1731" s="27"/>
      <c r="E1731" s="27"/>
      <c r="F1731" s="27"/>
    </row>
    <row r="1732" spans="2:6" x14ac:dyDescent="0.25">
      <c r="B1732" s="20"/>
      <c r="C1732" s="20"/>
      <c r="D1732" s="27"/>
      <c r="E1732" s="27"/>
      <c r="F1732" s="27"/>
    </row>
    <row r="1733" spans="2:6" x14ac:dyDescent="0.25">
      <c r="B1733" s="20"/>
      <c r="C1733" s="20"/>
      <c r="D1733" s="27"/>
      <c r="E1733" s="27"/>
      <c r="F1733" s="27"/>
    </row>
    <row r="1734" spans="2:6" x14ac:dyDescent="0.25">
      <c r="B1734" s="20"/>
      <c r="C1734" s="20"/>
      <c r="D1734" s="27"/>
      <c r="E1734" s="27"/>
      <c r="F1734" s="27"/>
    </row>
    <row r="1735" spans="2:6" x14ac:dyDescent="0.25">
      <c r="B1735" s="20"/>
      <c r="C1735" s="20"/>
      <c r="D1735" s="27"/>
      <c r="E1735" s="27"/>
      <c r="F1735" s="27"/>
    </row>
    <row r="1736" spans="2:6" x14ac:dyDescent="0.25">
      <c r="B1736" s="20"/>
      <c r="C1736" s="20"/>
      <c r="D1736" s="27"/>
      <c r="E1736" s="27"/>
      <c r="F1736" s="27"/>
    </row>
    <row r="1737" spans="2:6" x14ac:dyDescent="0.25">
      <c r="B1737" s="20"/>
      <c r="C1737" s="20"/>
      <c r="D1737" s="27"/>
      <c r="E1737" s="27"/>
      <c r="F1737" s="27"/>
    </row>
    <row r="1738" spans="2:6" x14ac:dyDescent="0.25">
      <c r="B1738" s="20"/>
      <c r="C1738" s="20"/>
      <c r="D1738" s="27"/>
      <c r="E1738" s="27"/>
      <c r="F1738" s="27"/>
    </row>
    <row r="1739" spans="2:6" x14ac:dyDescent="0.25">
      <c r="B1739" s="20"/>
      <c r="C1739" s="20"/>
      <c r="D1739" s="27"/>
      <c r="E1739" s="27"/>
      <c r="F1739" s="27"/>
    </row>
    <row r="1740" spans="2:6" x14ac:dyDescent="0.25">
      <c r="B1740" s="20"/>
      <c r="C1740" s="20"/>
      <c r="D1740" s="27"/>
      <c r="E1740" s="27"/>
      <c r="F1740" s="27"/>
    </row>
    <row r="1741" spans="2:6" x14ac:dyDescent="0.25">
      <c r="B1741" s="20"/>
      <c r="C1741" s="20"/>
      <c r="D1741" s="27"/>
      <c r="E1741" s="27"/>
      <c r="F1741" s="27"/>
    </row>
    <row r="1742" spans="2:6" x14ac:dyDescent="0.25">
      <c r="B1742" s="20"/>
      <c r="C1742" s="20"/>
      <c r="D1742" s="27"/>
      <c r="E1742" s="27"/>
      <c r="F1742" s="27"/>
    </row>
    <row r="1743" spans="2:6" x14ac:dyDescent="0.25">
      <c r="B1743" s="20"/>
      <c r="C1743" s="20"/>
      <c r="D1743" s="27"/>
      <c r="E1743" s="27"/>
      <c r="F1743" s="27"/>
    </row>
    <row r="1744" spans="2:6" x14ac:dyDescent="0.25">
      <c r="B1744" s="20"/>
      <c r="C1744" s="20"/>
      <c r="D1744" s="27"/>
      <c r="E1744" s="27"/>
      <c r="F1744" s="27"/>
    </row>
    <row r="1745" spans="2:6" x14ac:dyDescent="0.25">
      <c r="B1745" s="20"/>
      <c r="C1745" s="20"/>
      <c r="D1745" s="27"/>
      <c r="E1745" s="27"/>
      <c r="F1745" s="27"/>
    </row>
    <row r="1746" spans="2:6" x14ac:dyDescent="0.25">
      <c r="B1746" s="20"/>
      <c r="C1746" s="20"/>
      <c r="D1746" s="27"/>
      <c r="E1746" s="27"/>
      <c r="F1746" s="27"/>
    </row>
    <row r="1747" spans="2:6" x14ac:dyDescent="0.25">
      <c r="B1747" s="20"/>
      <c r="C1747" s="20"/>
      <c r="D1747" s="27"/>
      <c r="E1747" s="27"/>
      <c r="F1747" s="27"/>
    </row>
    <row r="1748" spans="2:6" x14ac:dyDescent="0.25">
      <c r="B1748" s="20"/>
      <c r="C1748" s="20"/>
      <c r="D1748" s="27"/>
      <c r="E1748" s="27"/>
      <c r="F1748" s="27"/>
    </row>
    <row r="1749" spans="2:6" x14ac:dyDescent="0.25">
      <c r="B1749" s="20"/>
      <c r="C1749" s="20"/>
      <c r="D1749" s="27"/>
      <c r="E1749" s="27"/>
      <c r="F1749" s="27"/>
    </row>
    <row r="1750" spans="2:6" x14ac:dyDescent="0.25">
      <c r="B1750" s="20"/>
      <c r="C1750" s="20"/>
      <c r="D1750" s="27"/>
      <c r="E1750" s="27"/>
      <c r="F1750" s="27"/>
    </row>
    <row r="1751" spans="2:6" x14ac:dyDescent="0.25">
      <c r="B1751" s="20"/>
      <c r="C1751" s="20"/>
      <c r="D1751" s="27"/>
      <c r="E1751" s="27"/>
      <c r="F1751" s="27"/>
    </row>
    <row r="1752" spans="2:6" x14ac:dyDescent="0.25">
      <c r="B1752" s="20"/>
      <c r="C1752" s="20"/>
      <c r="D1752" s="27"/>
      <c r="E1752" s="27"/>
      <c r="F1752" s="27"/>
    </row>
    <row r="1753" spans="2:6" x14ac:dyDescent="0.25">
      <c r="B1753" s="20"/>
      <c r="C1753" s="20"/>
      <c r="D1753" s="27"/>
      <c r="E1753" s="27"/>
      <c r="F1753" s="27"/>
    </row>
    <row r="1754" spans="2:6" x14ac:dyDescent="0.25">
      <c r="B1754" s="20"/>
      <c r="C1754" s="20"/>
      <c r="D1754" s="27"/>
      <c r="E1754" s="27"/>
      <c r="F1754" s="27"/>
    </row>
    <row r="1755" spans="2:6" x14ac:dyDescent="0.25">
      <c r="B1755" s="20"/>
      <c r="C1755" s="20"/>
      <c r="D1755" s="27"/>
      <c r="E1755" s="27"/>
      <c r="F1755" s="27"/>
    </row>
    <row r="1756" spans="2:6" x14ac:dyDescent="0.25">
      <c r="B1756" s="20"/>
      <c r="C1756" s="20"/>
      <c r="D1756" s="27"/>
      <c r="E1756" s="27"/>
      <c r="F1756" s="27"/>
    </row>
    <row r="1757" spans="2:6" x14ac:dyDescent="0.25">
      <c r="B1757" s="20"/>
      <c r="C1757" s="20"/>
      <c r="D1757" s="27"/>
      <c r="E1757" s="27"/>
      <c r="F1757" s="27"/>
    </row>
    <row r="1758" spans="2:6" x14ac:dyDescent="0.25">
      <c r="B1758" s="20"/>
      <c r="C1758" s="20"/>
      <c r="D1758" s="27"/>
      <c r="E1758" s="27"/>
      <c r="F1758" s="27"/>
    </row>
    <row r="1759" spans="2:6" x14ac:dyDescent="0.25">
      <c r="B1759" s="20"/>
      <c r="C1759" s="20"/>
      <c r="D1759" s="27"/>
      <c r="E1759" s="27"/>
      <c r="F1759" s="27"/>
    </row>
    <row r="1760" spans="2:6" x14ac:dyDescent="0.25">
      <c r="B1760" s="20"/>
      <c r="C1760" s="20"/>
      <c r="D1760" s="27"/>
      <c r="E1760" s="27"/>
      <c r="F1760" s="27"/>
    </row>
    <row r="1761" spans="2:6" x14ac:dyDescent="0.25">
      <c r="B1761" s="20"/>
      <c r="C1761" s="20"/>
      <c r="D1761" s="27"/>
      <c r="E1761" s="27"/>
      <c r="F1761" s="27"/>
    </row>
    <row r="1762" spans="2:6" x14ac:dyDescent="0.25">
      <c r="B1762" s="20"/>
      <c r="C1762" s="20"/>
      <c r="D1762" s="27"/>
      <c r="E1762" s="27"/>
      <c r="F1762" s="27"/>
    </row>
    <row r="1763" spans="2:6" x14ac:dyDescent="0.25">
      <c r="B1763" s="20"/>
      <c r="C1763" s="20"/>
      <c r="D1763" s="27"/>
      <c r="E1763" s="27"/>
      <c r="F1763" s="27"/>
    </row>
    <row r="1764" spans="2:6" x14ac:dyDescent="0.25">
      <c r="B1764" s="20"/>
      <c r="C1764" s="20"/>
      <c r="D1764" s="27"/>
      <c r="E1764" s="27"/>
      <c r="F1764" s="27"/>
    </row>
    <row r="1765" spans="2:6" x14ac:dyDescent="0.25">
      <c r="B1765" s="20"/>
      <c r="C1765" s="20"/>
      <c r="D1765" s="27"/>
      <c r="E1765" s="27"/>
      <c r="F1765" s="27"/>
    </row>
    <row r="1766" spans="2:6" x14ac:dyDescent="0.25">
      <c r="B1766" s="20"/>
      <c r="C1766" s="20"/>
      <c r="D1766" s="27"/>
      <c r="E1766" s="27"/>
      <c r="F1766" s="27"/>
    </row>
    <row r="1767" spans="2:6" x14ac:dyDescent="0.25">
      <c r="B1767" s="20"/>
      <c r="C1767" s="20"/>
      <c r="D1767" s="27"/>
      <c r="E1767" s="27"/>
      <c r="F1767" s="27"/>
    </row>
    <row r="1768" spans="2:6" x14ac:dyDescent="0.25">
      <c r="B1768" s="20"/>
      <c r="C1768" s="20"/>
      <c r="D1768" s="27"/>
      <c r="E1768" s="27"/>
      <c r="F1768" s="27"/>
    </row>
    <row r="1769" spans="2:6" x14ac:dyDescent="0.25">
      <c r="B1769" s="20"/>
      <c r="C1769" s="20"/>
      <c r="D1769" s="27"/>
      <c r="E1769" s="27"/>
      <c r="F1769" s="27"/>
    </row>
    <row r="1770" spans="2:6" x14ac:dyDescent="0.25">
      <c r="B1770" s="20"/>
      <c r="C1770" s="20"/>
      <c r="D1770" s="27"/>
      <c r="E1770" s="27"/>
      <c r="F1770" s="27"/>
    </row>
    <row r="1771" spans="2:6" x14ac:dyDescent="0.25">
      <c r="B1771" s="20"/>
      <c r="C1771" s="20"/>
      <c r="D1771" s="27"/>
      <c r="E1771" s="27"/>
      <c r="F1771" s="27"/>
    </row>
    <row r="1772" spans="2:6" x14ac:dyDescent="0.25">
      <c r="B1772" s="20"/>
      <c r="C1772" s="20"/>
      <c r="D1772" s="27"/>
      <c r="E1772" s="27"/>
      <c r="F1772" s="27"/>
    </row>
    <row r="1773" spans="2:6" x14ac:dyDescent="0.25">
      <c r="B1773" s="20"/>
      <c r="C1773" s="20"/>
      <c r="D1773" s="27"/>
      <c r="E1773" s="27"/>
      <c r="F1773" s="27"/>
    </row>
    <row r="1774" spans="2:6" x14ac:dyDescent="0.25">
      <c r="B1774" s="20"/>
      <c r="C1774" s="20"/>
      <c r="D1774" s="27"/>
      <c r="E1774" s="27"/>
      <c r="F1774" s="27"/>
    </row>
    <row r="1775" spans="2:6" x14ac:dyDescent="0.25">
      <c r="B1775" s="20"/>
      <c r="C1775" s="20"/>
      <c r="D1775" s="27"/>
      <c r="E1775" s="27"/>
      <c r="F1775" s="27"/>
    </row>
    <row r="1776" spans="2:6" x14ac:dyDescent="0.25">
      <c r="B1776" s="20"/>
      <c r="C1776" s="20"/>
      <c r="D1776" s="27"/>
      <c r="E1776" s="27"/>
      <c r="F1776" s="27"/>
    </row>
    <row r="1777" spans="2:6" x14ac:dyDescent="0.25">
      <c r="B1777" s="20"/>
      <c r="C1777" s="20"/>
      <c r="D1777" s="27"/>
      <c r="E1777" s="27"/>
      <c r="F1777" s="27"/>
    </row>
    <row r="1778" spans="2:6" x14ac:dyDescent="0.25">
      <c r="B1778" s="20"/>
      <c r="C1778" s="20"/>
      <c r="D1778" s="27"/>
      <c r="E1778" s="27"/>
      <c r="F1778" s="27"/>
    </row>
    <row r="1779" spans="2:6" x14ac:dyDescent="0.25">
      <c r="B1779" s="20"/>
      <c r="C1779" s="20"/>
      <c r="D1779" s="27"/>
      <c r="E1779" s="27"/>
      <c r="F1779" s="27"/>
    </row>
    <row r="1780" spans="2:6" x14ac:dyDescent="0.25">
      <c r="B1780" s="20"/>
      <c r="C1780" s="20"/>
      <c r="D1780" s="27"/>
      <c r="E1780" s="27"/>
      <c r="F1780" s="27"/>
    </row>
    <row r="1781" spans="2:6" x14ac:dyDescent="0.25">
      <c r="B1781" s="20"/>
      <c r="C1781" s="20"/>
      <c r="D1781" s="27"/>
      <c r="E1781" s="27"/>
      <c r="F1781" s="27"/>
    </row>
    <row r="1782" spans="2:6" x14ac:dyDescent="0.25">
      <c r="B1782" s="20"/>
      <c r="C1782" s="20"/>
      <c r="D1782" s="27"/>
      <c r="E1782" s="27"/>
      <c r="F1782" s="27"/>
    </row>
    <row r="1783" spans="2:6" x14ac:dyDescent="0.25">
      <c r="B1783" s="20"/>
      <c r="C1783" s="20"/>
      <c r="D1783" s="27"/>
      <c r="E1783" s="27"/>
      <c r="F1783" s="27"/>
    </row>
    <row r="1784" spans="2:6" x14ac:dyDescent="0.25">
      <c r="B1784" s="20"/>
      <c r="C1784" s="20"/>
      <c r="D1784" s="27"/>
      <c r="E1784" s="27"/>
      <c r="F1784" s="27"/>
    </row>
    <row r="1785" spans="2:6" x14ac:dyDescent="0.25">
      <c r="B1785" s="20"/>
      <c r="C1785" s="20"/>
      <c r="D1785" s="27"/>
      <c r="E1785" s="27"/>
      <c r="F1785" s="27"/>
    </row>
    <row r="1786" spans="2:6" x14ac:dyDescent="0.25">
      <c r="B1786" s="20"/>
      <c r="C1786" s="20"/>
      <c r="D1786" s="27"/>
      <c r="E1786" s="27"/>
      <c r="F1786" s="27"/>
    </row>
    <row r="1787" spans="2:6" x14ac:dyDescent="0.25">
      <c r="B1787" s="20"/>
      <c r="C1787" s="20"/>
      <c r="D1787" s="27"/>
      <c r="E1787" s="27"/>
      <c r="F1787" s="27"/>
    </row>
    <row r="1788" spans="2:6" x14ac:dyDescent="0.25">
      <c r="B1788" s="20"/>
      <c r="C1788" s="20"/>
      <c r="D1788" s="27"/>
      <c r="E1788" s="27"/>
      <c r="F1788" s="27"/>
    </row>
    <row r="1789" spans="2:6" x14ac:dyDescent="0.25">
      <c r="B1789" s="20"/>
      <c r="C1789" s="20"/>
      <c r="D1789" s="27"/>
      <c r="E1789" s="27"/>
      <c r="F1789" s="27"/>
    </row>
    <row r="1790" spans="2:6" x14ac:dyDescent="0.25">
      <c r="B1790" s="20"/>
      <c r="C1790" s="20"/>
      <c r="D1790" s="27"/>
      <c r="E1790" s="27"/>
      <c r="F1790" s="27"/>
    </row>
    <row r="1791" spans="2:6" x14ac:dyDescent="0.25">
      <c r="B1791" s="20"/>
      <c r="C1791" s="20"/>
      <c r="D1791" s="27"/>
      <c r="E1791" s="27"/>
      <c r="F1791" s="27"/>
    </row>
    <row r="1792" spans="2:6" x14ac:dyDescent="0.25">
      <c r="B1792" s="20"/>
      <c r="C1792" s="20"/>
      <c r="D1792" s="27"/>
      <c r="E1792" s="27"/>
      <c r="F1792" s="27"/>
    </row>
    <row r="1793" spans="2:6" x14ac:dyDescent="0.25">
      <c r="B1793" s="20"/>
      <c r="C1793" s="20"/>
      <c r="D1793" s="27"/>
      <c r="E1793" s="27"/>
      <c r="F1793" s="27"/>
    </row>
    <row r="1794" spans="2:6" x14ac:dyDescent="0.25">
      <c r="B1794" s="20"/>
      <c r="C1794" s="20"/>
      <c r="D1794" s="27"/>
      <c r="E1794" s="27"/>
      <c r="F1794" s="27"/>
    </row>
    <row r="1795" spans="2:6" x14ac:dyDescent="0.25">
      <c r="B1795" s="20"/>
      <c r="C1795" s="20"/>
      <c r="D1795" s="27"/>
      <c r="E1795" s="27"/>
      <c r="F1795" s="27"/>
    </row>
    <row r="1796" spans="2:6" x14ac:dyDescent="0.25">
      <c r="B1796" s="20"/>
      <c r="C1796" s="20"/>
      <c r="D1796" s="27"/>
      <c r="E1796" s="27"/>
      <c r="F1796" s="27"/>
    </row>
    <row r="1797" spans="2:6" x14ac:dyDescent="0.25">
      <c r="B1797" s="20"/>
      <c r="C1797" s="20"/>
      <c r="D1797" s="27"/>
      <c r="E1797" s="27"/>
      <c r="F1797" s="27"/>
    </row>
    <row r="1798" spans="2:6" x14ac:dyDescent="0.25">
      <c r="B1798" s="20"/>
      <c r="C1798" s="20"/>
      <c r="D1798" s="27"/>
      <c r="E1798" s="27"/>
      <c r="F1798" s="27"/>
    </row>
    <row r="1799" spans="2:6" x14ac:dyDescent="0.25">
      <c r="B1799" s="20"/>
      <c r="C1799" s="20"/>
      <c r="D1799" s="27"/>
      <c r="E1799" s="27"/>
      <c r="F1799" s="27"/>
    </row>
    <row r="1800" spans="2:6" x14ac:dyDescent="0.25">
      <c r="B1800" s="20"/>
      <c r="C1800" s="20"/>
      <c r="D1800" s="27"/>
      <c r="E1800" s="27"/>
      <c r="F1800" s="27"/>
    </row>
    <row r="1801" spans="2:6" x14ac:dyDescent="0.25">
      <c r="B1801" s="20"/>
      <c r="C1801" s="20"/>
      <c r="D1801" s="27"/>
      <c r="E1801" s="27"/>
      <c r="F1801" s="27"/>
    </row>
    <row r="1802" spans="2:6" x14ac:dyDescent="0.25">
      <c r="B1802" s="20"/>
      <c r="C1802" s="20"/>
      <c r="D1802" s="27"/>
      <c r="E1802" s="27"/>
      <c r="F1802" s="27"/>
    </row>
    <row r="1803" spans="2:6" x14ac:dyDescent="0.25">
      <c r="B1803" s="20"/>
      <c r="C1803" s="20"/>
      <c r="D1803" s="27"/>
      <c r="E1803" s="27"/>
      <c r="F1803" s="27"/>
    </row>
    <row r="1804" spans="2:6" x14ac:dyDescent="0.25">
      <c r="B1804" s="20"/>
      <c r="C1804" s="20"/>
      <c r="D1804" s="27"/>
      <c r="E1804" s="27"/>
      <c r="F1804" s="27"/>
    </row>
    <row r="1805" spans="2:6" x14ac:dyDescent="0.25">
      <c r="B1805" s="20"/>
      <c r="C1805" s="20"/>
      <c r="D1805" s="27"/>
      <c r="E1805" s="27"/>
      <c r="F1805" s="27"/>
    </row>
    <row r="1806" spans="2:6" x14ac:dyDescent="0.25">
      <c r="B1806" s="20"/>
      <c r="C1806" s="20"/>
      <c r="D1806" s="27"/>
      <c r="E1806" s="27"/>
      <c r="F1806" s="27"/>
    </row>
    <row r="1807" spans="2:6" x14ac:dyDescent="0.25">
      <c r="B1807" s="20"/>
      <c r="C1807" s="20"/>
      <c r="D1807" s="27"/>
      <c r="E1807" s="27"/>
      <c r="F1807" s="27"/>
    </row>
    <row r="1808" spans="2:6" x14ac:dyDescent="0.25">
      <c r="B1808" s="20"/>
      <c r="C1808" s="20"/>
      <c r="D1808" s="27"/>
      <c r="E1808" s="27"/>
      <c r="F1808" s="27"/>
    </row>
    <row r="1809" spans="2:6" x14ac:dyDescent="0.25">
      <c r="B1809" s="20"/>
      <c r="C1809" s="20"/>
      <c r="D1809" s="27"/>
      <c r="E1809" s="27"/>
      <c r="F1809" s="27"/>
    </row>
    <row r="1810" spans="2:6" x14ac:dyDescent="0.25">
      <c r="B1810" s="20"/>
      <c r="C1810" s="20"/>
      <c r="D1810" s="27"/>
      <c r="E1810" s="27"/>
      <c r="F1810" s="27"/>
    </row>
    <row r="1811" spans="2:6" x14ac:dyDescent="0.25">
      <c r="B1811" s="20"/>
      <c r="C1811" s="20"/>
      <c r="D1811" s="27"/>
      <c r="E1811" s="27"/>
      <c r="F1811" s="27"/>
    </row>
    <row r="1812" spans="2:6" x14ac:dyDescent="0.25">
      <c r="B1812" s="20"/>
      <c r="C1812" s="20"/>
      <c r="D1812" s="27"/>
      <c r="E1812" s="27"/>
      <c r="F1812" s="27"/>
    </row>
    <row r="1813" spans="2:6" x14ac:dyDescent="0.25">
      <c r="B1813" s="20"/>
      <c r="C1813" s="20"/>
      <c r="D1813" s="27"/>
      <c r="E1813" s="27"/>
      <c r="F1813" s="27"/>
    </row>
    <row r="1814" spans="2:6" x14ac:dyDescent="0.25">
      <c r="B1814" s="20"/>
      <c r="C1814" s="20"/>
      <c r="D1814" s="27"/>
      <c r="E1814" s="27"/>
      <c r="F1814" s="27"/>
    </row>
    <row r="1815" spans="2:6" x14ac:dyDescent="0.25">
      <c r="B1815" s="20"/>
      <c r="C1815" s="20"/>
      <c r="D1815" s="27"/>
      <c r="E1815" s="27"/>
      <c r="F1815" s="27"/>
    </row>
    <row r="1816" spans="2:6" x14ac:dyDescent="0.25">
      <c r="B1816" s="20"/>
      <c r="C1816" s="20"/>
      <c r="D1816" s="27"/>
      <c r="E1816" s="27"/>
      <c r="F1816" s="27"/>
    </row>
    <row r="1817" spans="2:6" x14ac:dyDescent="0.25">
      <c r="B1817" s="20"/>
      <c r="C1817" s="20"/>
      <c r="D1817" s="27"/>
      <c r="E1817" s="27"/>
      <c r="F1817" s="27"/>
    </row>
    <row r="1818" spans="2:6" x14ac:dyDescent="0.25">
      <c r="B1818" s="20"/>
      <c r="C1818" s="20"/>
      <c r="D1818" s="27"/>
      <c r="E1818" s="27"/>
      <c r="F1818" s="27"/>
    </row>
    <row r="1819" spans="2:6" x14ac:dyDescent="0.25">
      <c r="B1819" s="20"/>
      <c r="C1819" s="20"/>
      <c r="D1819" s="27"/>
      <c r="E1819" s="27"/>
      <c r="F1819" s="27"/>
    </row>
    <row r="1820" spans="2:6" x14ac:dyDescent="0.25">
      <c r="B1820" s="20"/>
      <c r="C1820" s="20"/>
      <c r="D1820" s="27"/>
      <c r="E1820" s="27"/>
      <c r="F1820" s="27"/>
    </row>
    <row r="1821" spans="2:6" x14ac:dyDescent="0.25">
      <c r="B1821" s="20"/>
      <c r="C1821" s="20"/>
      <c r="D1821" s="27"/>
      <c r="E1821" s="27"/>
      <c r="F1821" s="27"/>
    </row>
    <row r="1822" spans="2:6" x14ac:dyDescent="0.25">
      <c r="B1822" s="20"/>
      <c r="C1822" s="20"/>
      <c r="D1822" s="27"/>
      <c r="E1822" s="27"/>
      <c r="F1822" s="27"/>
    </row>
    <row r="1823" spans="2:6" x14ac:dyDescent="0.25">
      <c r="B1823" s="20"/>
      <c r="C1823" s="20"/>
      <c r="D1823" s="27"/>
      <c r="E1823" s="27"/>
      <c r="F1823" s="27"/>
    </row>
    <row r="1824" spans="2:6" x14ac:dyDescent="0.25">
      <c r="B1824" s="20"/>
      <c r="C1824" s="20"/>
      <c r="D1824" s="27"/>
      <c r="E1824" s="27"/>
      <c r="F1824" s="27"/>
    </row>
    <row r="1825" spans="2:6" x14ac:dyDescent="0.25">
      <c r="B1825" s="20"/>
      <c r="C1825" s="20"/>
      <c r="D1825" s="27"/>
      <c r="E1825" s="27"/>
      <c r="F1825" s="27"/>
    </row>
    <row r="1826" spans="2:6" x14ac:dyDescent="0.25">
      <c r="B1826" s="20"/>
      <c r="C1826" s="20"/>
      <c r="D1826" s="27"/>
      <c r="E1826" s="27"/>
      <c r="F1826" s="27"/>
    </row>
    <row r="1827" spans="2:6" x14ac:dyDescent="0.25">
      <c r="B1827" s="20"/>
      <c r="C1827" s="20"/>
      <c r="D1827" s="27"/>
      <c r="E1827" s="27"/>
      <c r="F1827" s="27"/>
    </row>
    <row r="1828" spans="2:6" x14ac:dyDescent="0.25">
      <c r="B1828" s="20"/>
      <c r="C1828" s="20"/>
      <c r="D1828" s="27"/>
      <c r="E1828" s="27"/>
      <c r="F1828" s="27"/>
    </row>
    <row r="1829" spans="2:6" x14ac:dyDescent="0.25">
      <c r="B1829" s="20"/>
      <c r="C1829" s="20"/>
      <c r="D1829" s="27"/>
      <c r="E1829" s="27"/>
      <c r="F1829" s="27"/>
    </row>
    <row r="1830" spans="2:6" x14ac:dyDescent="0.25">
      <c r="B1830" s="20"/>
      <c r="C1830" s="20"/>
      <c r="D1830" s="27"/>
      <c r="E1830" s="27"/>
      <c r="F1830" s="27"/>
    </row>
    <row r="1831" spans="2:6" x14ac:dyDescent="0.25">
      <c r="B1831" s="20"/>
      <c r="C1831" s="20"/>
      <c r="D1831" s="27"/>
      <c r="E1831" s="27"/>
      <c r="F1831" s="27"/>
    </row>
    <row r="1832" spans="2:6" x14ac:dyDescent="0.25">
      <c r="B1832" s="20"/>
      <c r="C1832" s="20"/>
      <c r="D1832" s="27"/>
      <c r="E1832" s="27"/>
      <c r="F1832" s="27"/>
    </row>
    <row r="1833" spans="2:6" x14ac:dyDescent="0.25">
      <c r="B1833" s="20"/>
      <c r="C1833" s="20"/>
      <c r="D1833" s="27"/>
      <c r="E1833" s="27"/>
      <c r="F1833" s="27"/>
    </row>
    <row r="1834" spans="2:6" x14ac:dyDescent="0.25">
      <c r="B1834" s="20"/>
      <c r="C1834" s="20"/>
      <c r="D1834" s="27"/>
      <c r="E1834" s="27"/>
      <c r="F1834" s="27"/>
    </row>
    <row r="1835" spans="2:6" x14ac:dyDescent="0.25">
      <c r="B1835" s="20"/>
      <c r="C1835" s="20"/>
      <c r="D1835" s="27"/>
      <c r="E1835" s="27"/>
      <c r="F1835" s="27"/>
    </row>
    <row r="1836" spans="2:6" x14ac:dyDescent="0.25">
      <c r="B1836" s="20"/>
      <c r="C1836" s="20"/>
      <c r="D1836" s="27"/>
      <c r="E1836" s="27"/>
      <c r="F1836" s="27"/>
    </row>
    <row r="1837" spans="2:6" x14ac:dyDescent="0.25">
      <c r="B1837" s="20"/>
      <c r="C1837" s="20"/>
      <c r="D1837" s="27"/>
      <c r="E1837" s="27"/>
      <c r="F1837" s="27"/>
    </row>
    <row r="1838" spans="2:6" x14ac:dyDescent="0.25">
      <c r="B1838" s="20"/>
      <c r="C1838" s="20"/>
      <c r="D1838" s="27"/>
      <c r="E1838" s="27"/>
      <c r="F1838" s="27"/>
    </row>
    <row r="1839" spans="2:6" x14ac:dyDescent="0.25">
      <c r="B1839" s="20"/>
      <c r="C1839" s="20"/>
      <c r="D1839" s="27"/>
      <c r="E1839" s="27"/>
      <c r="F1839" s="27"/>
    </row>
    <row r="1840" spans="2:6" x14ac:dyDescent="0.25">
      <c r="B1840" s="20"/>
      <c r="C1840" s="20"/>
      <c r="D1840" s="27"/>
      <c r="E1840" s="27"/>
      <c r="F1840" s="27"/>
    </row>
    <row r="1841" spans="2:6" x14ac:dyDescent="0.25">
      <c r="B1841" s="20"/>
      <c r="C1841" s="20"/>
      <c r="D1841" s="27"/>
      <c r="E1841" s="27"/>
      <c r="F1841" s="27"/>
    </row>
    <row r="1842" spans="2:6" x14ac:dyDescent="0.25">
      <c r="B1842" s="20"/>
      <c r="C1842" s="20"/>
      <c r="D1842" s="27"/>
      <c r="E1842" s="27"/>
      <c r="F1842" s="27"/>
    </row>
    <row r="1843" spans="2:6" x14ac:dyDescent="0.25">
      <c r="B1843" s="20"/>
      <c r="C1843" s="20"/>
      <c r="D1843" s="27"/>
      <c r="E1843" s="27"/>
      <c r="F1843" s="27"/>
    </row>
    <row r="1844" spans="2:6" x14ac:dyDescent="0.25">
      <c r="B1844" s="20"/>
      <c r="C1844" s="20"/>
      <c r="D1844" s="27"/>
      <c r="E1844" s="27"/>
      <c r="F1844" s="27"/>
    </row>
    <row r="1845" spans="2:6" x14ac:dyDescent="0.25">
      <c r="B1845" s="20"/>
      <c r="C1845" s="20"/>
      <c r="D1845" s="27"/>
      <c r="E1845" s="27"/>
      <c r="F1845" s="27"/>
    </row>
    <row r="1846" spans="2:6" x14ac:dyDescent="0.25">
      <c r="B1846" s="20"/>
      <c r="C1846" s="20"/>
      <c r="D1846" s="27"/>
      <c r="E1846" s="27"/>
      <c r="F1846" s="27"/>
    </row>
    <row r="1847" spans="2:6" x14ac:dyDescent="0.25">
      <c r="B1847" s="20"/>
      <c r="C1847" s="20"/>
      <c r="D1847" s="27"/>
      <c r="E1847" s="27"/>
      <c r="F1847" s="27"/>
    </row>
    <row r="1848" spans="2:6" x14ac:dyDescent="0.25">
      <c r="B1848" s="20"/>
      <c r="C1848" s="20"/>
      <c r="D1848" s="27"/>
      <c r="E1848" s="27"/>
      <c r="F1848" s="27"/>
    </row>
    <row r="1849" spans="2:6" x14ac:dyDescent="0.25">
      <c r="B1849" s="20"/>
      <c r="C1849" s="20"/>
      <c r="D1849" s="27"/>
      <c r="E1849" s="27"/>
      <c r="F1849" s="27"/>
    </row>
    <row r="1850" spans="2:6" x14ac:dyDescent="0.25">
      <c r="B1850" s="20"/>
      <c r="C1850" s="20"/>
      <c r="D1850" s="27"/>
      <c r="E1850" s="27"/>
      <c r="F1850" s="27"/>
    </row>
    <row r="1851" spans="2:6" x14ac:dyDescent="0.25">
      <c r="B1851" s="20"/>
      <c r="C1851" s="20"/>
      <c r="D1851" s="27"/>
      <c r="E1851" s="27"/>
      <c r="F1851" s="27"/>
    </row>
    <row r="1852" spans="2:6" x14ac:dyDescent="0.25">
      <c r="B1852" s="20"/>
      <c r="C1852" s="20"/>
      <c r="D1852" s="27"/>
      <c r="E1852" s="27"/>
      <c r="F1852" s="27"/>
    </row>
    <row r="1853" spans="2:6" x14ac:dyDescent="0.25">
      <c r="B1853" s="20"/>
      <c r="C1853" s="20"/>
      <c r="D1853" s="27"/>
      <c r="E1853" s="27"/>
      <c r="F1853" s="27"/>
    </row>
    <row r="1854" spans="2:6" x14ac:dyDescent="0.25">
      <c r="B1854" s="20"/>
      <c r="C1854" s="20"/>
      <c r="D1854" s="27"/>
      <c r="E1854" s="27"/>
      <c r="F1854" s="27"/>
    </row>
    <row r="1855" spans="2:6" x14ac:dyDescent="0.25">
      <c r="B1855" s="20"/>
      <c r="C1855" s="20"/>
      <c r="D1855" s="27"/>
      <c r="E1855" s="27"/>
      <c r="F1855" s="27"/>
    </row>
    <row r="1856" spans="2:6" x14ac:dyDescent="0.25">
      <c r="B1856" s="20"/>
      <c r="C1856" s="20"/>
      <c r="D1856" s="27"/>
      <c r="E1856" s="27"/>
      <c r="F1856" s="27"/>
    </row>
    <row r="1857" spans="2:6" x14ac:dyDescent="0.25">
      <c r="B1857" s="20"/>
      <c r="C1857" s="20"/>
      <c r="D1857" s="27"/>
      <c r="E1857" s="27"/>
      <c r="F1857" s="27"/>
    </row>
    <row r="1858" spans="2:6" x14ac:dyDescent="0.25">
      <c r="B1858" s="20"/>
      <c r="C1858" s="20"/>
      <c r="D1858" s="27"/>
      <c r="E1858" s="27"/>
      <c r="F1858" s="27"/>
    </row>
    <row r="1859" spans="2:6" x14ac:dyDescent="0.25">
      <c r="B1859" s="20"/>
      <c r="C1859" s="20"/>
      <c r="D1859" s="27"/>
      <c r="E1859" s="27"/>
      <c r="F1859" s="27"/>
    </row>
    <row r="1860" spans="2:6" x14ac:dyDescent="0.25">
      <c r="B1860" s="20"/>
      <c r="C1860" s="20"/>
      <c r="D1860" s="27"/>
      <c r="E1860" s="27"/>
      <c r="F1860" s="27"/>
    </row>
    <row r="1861" spans="2:6" x14ac:dyDescent="0.25">
      <c r="B1861" s="20"/>
      <c r="C1861" s="20"/>
      <c r="D1861" s="27"/>
      <c r="E1861" s="27"/>
      <c r="F1861" s="27"/>
    </row>
    <row r="1862" spans="2:6" x14ac:dyDescent="0.25">
      <c r="B1862" s="20"/>
      <c r="C1862" s="20"/>
      <c r="D1862" s="27"/>
      <c r="E1862" s="27"/>
      <c r="F1862" s="27"/>
    </row>
    <row r="1863" spans="2:6" x14ac:dyDescent="0.25">
      <c r="B1863" s="20"/>
      <c r="C1863" s="20"/>
      <c r="D1863" s="27"/>
      <c r="E1863" s="27"/>
      <c r="F1863" s="27"/>
    </row>
    <row r="1864" spans="2:6" x14ac:dyDescent="0.25">
      <c r="B1864" s="20"/>
      <c r="C1864" s="20"/>
      <c r="D1864" s="27"/>
      <c r="E1864" s="27"/>
      <c r="F1864" s="27"/>
    </row>
    <row r="1865" spans="2:6" x14ac:dyDescent="0.25">
      <c r="B1865" s="20"/>
      <c r="C1865" s="20"/>
      <c r="D1865" s="27"/>
      <c r="E1865" s="27"/>
      <c r="F1865" s="27"/>
    </row>
    <row r="1866" spans="2:6" x14ac:dyDescent="0.25">
      <c r="B1866" s="20"/>
      <c r="C1866" s="20"/>
      <c r="D1866" s="27"/>
      <c r="E1866" s="27"/>
      <c r="F1866" s="27"/>
    </row>
    <row r="1867" spans="2:6" x14ac:dyDescent="0.25">
      <c r="B1867" s="20"/>
      <c r="C1867" s="20"/>
      <c r="D1867" s="27"/>
      <c r="E1867" s="27"/>
      <c r="F1867" s="27"/>
    </row>
    <row r="1868" spans="2:6" x14ac:dyDescent="0.25">
      <c r="B1868" s="20"/>
      <c r="C1868" s="20"/>
      <c r="D1868" s="27"/>
      <c r="E1868" s="27"/>
      <c r="F1868" s="27"/>
    </row>
    <row r="1869" spans="2:6" x14ac:dyDescent="0.25">
      <c r="B1869" s="20"/>
      <c r="C1869" s="20"/>
      <c r="D1869" s="27"/>
      <c r="E1869" s="27"/>
      <c r="F1869" s="27"/>
    </row>
    <row r="1870" spans="2:6" x14ac:dyDescent="0.25">
      <c r="B1870" s="20"/>
      <c r="C1870" s="20"/>
      <c r="D1870" s="27"/>
      <c r="E1870" s="27"/>
      <c r="F1870" s="27"/>
    </row>
    <row r="1871" spans="2:6" x14ac:dyDescent="0.25">
      <c r="B1871" s="20"/>
      <c r="C1871" s="20"/>
      <c r="D1871" s="27"/>
      <c r="E1871" s="27"/>
      <c r="F1871" s="27"/>
    </row>
    <row r="1872" spans="2:6" x14ac:dyDescent="0.25">
      <c r="B1872" s="20"/>
      <c r="C1872" s="20"/>
      <c r="D1872" s="27"/>
      <c r="E1872" s="27"/>
      <c r="F1872" s="27"/>
    </row>
    <row r="1873" spans="2:6" x14ac:dyDescent="0.25">
      <c r="B1873" s="20"/>
      <c r="C1873" s="20"/>
      <c r="D1873" s="27"/>
      <c r="E1873" s="27"/>
      <c r="F1873" s="27"/>
    </row>
    <row r="1874" spans="2:6" x14ac:dyDescent="0.25">
      <c r="B1874" s="20"/>
      <c r="C1874" s="20"/>
      <c r="D1874" s="27"/>
      <c r="E1874" s="27"/>
      <c r="F1874" s="27"/>
    </row>
    <row r="1875" spans="2:6" x14ac:dyDescent="0.25">
      <c r="B1875" s="20"/>
      <c r="C1875" s="20"/>
      <c r="D1875" s="27"/>
      <c r="E1875" s="27"/>
      <c r="F1875" s="27"/>
    </row>
    <row r="1876" spans="2:6" x14ac:dyDescent="0.25">
      <c r="B1876" s="20"/>
      <c r="C1876" s="20"/>
      <c r="D1876" s="27"/>
      <c r="E1876" s="27"/>
      <c r="F1876" s="27"/>
    </row>
    <row r="1877" spans="2:6" x14ac:dyDescent="0.25">
      <c r="B1877" s="20"/>
      <c r="C1877" s="20"/>
      <c r="D1877" s="27"/>
      <c r="E1877" s="27"/>
      <c r="F1877" s="27"/>
    </row>
    <row r="1878" spans="2:6" x14ac:dyDescent="0.25">
      <c r="B1878" s="20"/>
      <c r="C1878" s="20"/>
      <c r="D1878" s="27"/>
      <c r="E1878" s="27"/>
      <c r="F1878" s="27"/>
    </row>
    <row r="1879" spans="2:6" x14ac:dyDescent="0.25">
      <c r="B1879" s="20"/>
      <c r="C1879" s="20"/>
      <c r="D1879" s="27"/>
      <c r="E1879" s="27"/>
      <c r="F1879" s="27"/>
    </row>
    <row r="1880" spans="2:6" x14ac:dyDescent="0.25">
      <c r="B1880" s="20"/>
      <c r="C1880" s="20"/>
      <c r="D1880" s="27"/>
      <c r="E1880" s="27"/>
      <c r="F1880" s="27"/>
    </row>
    <row r="1881" spans="2:6" x14ac:dyDescent="0.25">
      <c r="B1881" s="20"/>
      <c r="C1881" s="20"/>
      <c r="D1881" s="27"/>
      <c r="E1881" s="27"/>
      <c r="F1881" s="27"/>
    </row>
    <row r="1882" spans="2:6" x14ac:dyDescent="0.25">
      <c r="B1882" s="20"/>
      <c r="C1882" s="20"/>
      <c r="D1882" s="27"/>
      <c r="E1882" s="27"/>
      <c r="F1882" s="27"/>
    </row>
    <row r="1883" spans="2:6" x14ac:dyDescent="0.25">
      <c r="B1883" s="20"/>
      <c r="C1883" s="20"/>
      <c r="D1883" s="27"/>
      <c r="E1883" s="27"/>
      <c r="F1883" s="27"/>
    </row>
    <row r="1884" spans="2:6" x14ac:dyDescent="0.25">
      <c r="B1884" s="20"/>
      <c r="C1884" s="20"/>
      <c r="D1884" s="27"/>
      <c r="E1884" s="27"/>
      <c r="F1884" s="27"/>
    </row>
    <row r="1885" spans="2:6" x14ac:dyDescent="0.25">
      <c r="B1885" s="20"/>
      <c r="C1885" s="20"/>
      <c r="D1885" s="27"/>
      <c r="E1885" s="27"/>
      <c r="F1885" s="27"/>
    </row>
    <row r="1886" spans="2:6" x14ac:dyDescent="0.25">
      <c r="B1886" s="20"/>
      <c r="C1886" s="20"/>
      <c r="D1886" s="27"/>
      <c r="E1886" s="27"/>
      <c r="F1886" s="27"/>
    </row>
    <row r="1887" spans="2:6" x14ac:dyDescent="0.25">
      <c r="B1887" s="20"/>
      <c r="C1887" s="20"/>
      <c r="D1887" s="27"/>
      <c r="E1887" s="27"/>
      <c r="F1887" s="27"/>
    </row>
    <row r="1888" spans="2:6" x14ac:dyDescent="0.25">
      <c r="B1888" s="20"/>
      <c r="C1888" s="20"/>
      <c r="D1888" s="27"/>
      <c r="E1888" s="27"/>
      <c r="F1888" s="27"/>
    </row>
    <row r="1889" spans="2:6" x14ac:dyDescent="0.25">
      <c r="B1889" s="20"/>
      <c r="C1889" s="20"/>
      <c r="D1889" s="27"/>
      <c r="E1889" s="27"/>
      <c r="F1889" s="27"/>
    </row>
    <row r="1890" spans="2:6" x14ac:dyDescent="0.25">
      <c r="B1890" s="20"/>
      <c r="C1890" s="20"/>
      <c r="D1890" s="27"/>
      <c r="E1890" s="27"/>
      <c r="F1890" s="27"/>
    </row>
    <row r="1891" spans="2:6" x14ac:dyDescent="0.25">
      <c r="B1891" s="20"/>
      <c r="C1891" s="20"/>
      <c r="D1891" s="27"/>
      <c r="E1891" s="27"/>
      <c r="F1891" s="27"/>
    </row>
    <row r="1892" spans="2:6" x14ac:dyDescent="0.25">
      <c r="B1892" s="20"/>
      <c r="C1892" s="20"/>
      <c r="D1892" s="27"/>
      <c r="E1892" s="27"/>
      <c r="F1892" s="27"/>
    </row>
    <row r="1893" spans="2:6" x14ac:dyDescent="0.25">
      <c r="B1893" s="20"/>
      <c r="C1893" s="20"/>
      <c r="D1893" s="27"/>
      <c r="E1893" s="27"/>
      <c r="F1893" s="27"/>
    </row>
    <row r="1894" spans="2:6" x14ac:dyDescent="0.25">
      <c r="B1894" s="20"/>
      <c r="C1894" s="20"/>
      <c r="D1894" s="27"/>
      <c r="E1894" s="27"/>
      <c r="F1894" s="27"/>
    </row>
    <row r="1895" spans="2:6" x14ac:dyDescent="0.25">
      <c r="B1895" s="20"/>
      <c r="C1895" s="20"/>
      <c r="D1895" s="27"/>
      <c r="E1895" s="27"/>
      <c r="F1895" s="27"/>
    </row>
    <row r="1896" spans="2:6" x14ac:dyDescent="0.25">
      <c r="B1896" s="20"/>
      <c r="C1896" s="20"/>
      <c r="D1896" s="27"/>
      <c r="E1896" s="27"/>
      <c r="F1896" s="27"/>
    </row>
    <row r="1897" spans="2:6" x14ac:dyDescent="0.25">
      <c r="B1897" s="20"/>
      <c r="C1897" s="20"/>
      <c r="D1897" s="27"/>
      <c r="E1897" s="27"/>
      <c r="F1897" s="27"/>
    </row>
    <row r="1898" spans="2:6" x14ac:dyDescent="0.25">
      <c r="B1898" s="20"/>
      <c r="C1898" s="20"/>
      <c r="D1898" s="27"/>
      <c r="E1898" s="27"/>
      <c r="F1898" s="27"/>
    </row>
    <row r="1899" spans="2:6" x14ac:dyDescent="0.25">
      <c r="B1899" s="20"/>
      <c r="C1899" s="20"/>
      <c r="D1899" s="27"/>
      <c r="E1899" s="27"/>
      <c r="F1899" s="27"/>
    </row>
    <row r="1900" spans="2:6" x14ac:dyDescent="0.25">
      <c r="B1900" s="20"/>
      <c r="C1900" s="20"/>
      <c r="D1900" s="27"/>
      <c r="E1900" s="27"/>
      <c r="F1900" s="27"/>
    </row>
    <row r="1901" spans="2:6" x14ac:dyDescent="0.25">
      <c r="B1901" s="20"/>
      <c r="C1901" s="20"/>
      <c r="D1901" s="27"/>
      <c r="E1901" s="27"/>
      <c r="F1901" s="27"/>
    </row>
    <row r="1902" spans="2:6" x14ac:dyDescent="0.25">
      <c r="B1902" s="20"/>
      <c r="C1902" s="20"/>
      <c r="D1902" s="27"/>
      <c r="E1902" s="27"/>
      <c r="F1902" s="27"/>
    </row>
    <row r="1903" spans="2:6" x14ac:dyDescent="0.25">
      <c r="B1903" s="20"/>
      <c r="C1903" s="20"/>
      <c r="D1903" s="27"/>
      <c r="E1903" s="27"/>
      <c r="F1903" s="27"/>
    </row>
    <row r="1904" spans="2:6" x14ac:dyDescent="0.25">
      <c r="B1904" s="20"/>
      <c r="C1904" s="20"/>
      <c r="D1904" s="27"/>
      <c r="E1904" s="27"/>
      <c r="F1904" s="27"/>
    </row>
    <row r="1905" spans="2:6" x14ac:dyDescent="0.25">
      <c r="B1905" s="20"/>
      <c r="C1905" s="20"/>
      <c r="D1905" s="27"/>
      <c r="E1905" s="27"/>
      <c r="F1905" s="27"/>
    </row>
    <row r="1906" spans="2:6" x14ac:dyDescent="0.25">
      <c r="B1906" s="20"/>
      <c r="C1906" s="20"/>
      <c r="D1906" s="27"/>
      <c r="E1906" s="27"/>
      <c r="F1906" s="27"/>
    </row>
    <row r="1907" spans="2:6" x14ac:dyDescent="0.25">
      <c r="B1907" s="20"/>
      <c r="C1907" s="20"/>
      <c r="D1907" s="27"/>
      <c r="E1907" s="27"/>
      <c r="F1907" s="27"/>
    </row>
    <row r="1908" spans="2:6" x14ac:dyDescent="0.25">
      <c r="B1908" s="20"/>
      <c r="C1908" s="20"/>
      <c r="D1908" s="27"/>
      <c r="E1908" s="27"/>
      <c r="F1908" s="27"/>
    </row>
    <row r="1909" spans="2:6" x14ac:dyDescent="0.25">
      <c r="B1909" s="20"/>
      <c r="C1909" s="20"/>
      <c r="D1909" s="27"/>
      <c r="E1909" s="27"/>
      <c r="F1909" s="27"/>
    </row>
    <row r="1910" spans="2:6" x14ac:dyDescent="0.25">
      <c r="B1910" s="20"/>
      <c r="C1910" s="20"/>
      <c r="D1910" s="27"/>
      <c r="E1910" s="27"/>
      <c r="F1910" s="27"/>
    </row>
    <row r="1911" spans="2:6" x14ac:dyDescent="0.25">
      <c r="B1911" s="20"/>
      <c r="C1911" s="20"/>
      <c r="D1911" s="27"/>
      <c r="E1911" s="27"/>
      <c r="F1911" s="27"/>
    </row>
    <row r="1912" spans="2:6" x14ac:dyDescent="0.25">
      <c r="B1912" s="20"/>
      <c r="C1912" s="20"/>
      <c r="D1912" s="27"/>
      <c r="E1912" s="27"/>
      <c r="F1912" s="27"/>
    </row>
    <row r="1913" spans="2:6" x14ac:dyDescent="0.25">
      <c r="B1913" s="20"/>
      <c r="C1913" s="20"/>
      <c r="D1913" s="27"/>
      <c r="E1913" s="27"/>
      <c r="F1913" s="27"/>
    </row>
    <row r="1914" spans="2:6" x14ac:dyDescent="0.25">
      <c r="B1914" s="20"/>
      <c r="C1914" s="20"/>
      <c r="D1914" s="27"/>
      <c r="E1914" s="27"/>
      <c r="F1914" s="27"/>
    </row>
    <row r="1915" spans="2:6" x14ac:dyDescent="0.25">
      <c r="B1915" s="20"/>
      <c r="C1915" s="20"/>
      <c r="D1915" s="27"/>
      <c r="E1915" s="27"/>
      <c r="F1915" s="27"/>
    </row>
    <row r="1916" spans="2:6" x14ac:dyDescent="0.25">
      <c r="B1916" s="20"/>
      <c r="C1916" s="20"/>
      <c r="D1916" s="27"/>
      <c r="E1916" s="27"/>
      <c r="F1916" s="27"/>
    </row>
    <row r="1917" spans="2:6" x14ac:dyDescent="0.25">
      <c r="B1917" s="20"/>
      <c r="C1917" s="20"/>
      <c r="D1917" s="27"/>
      <c r="E1917" s="27"/>
      <c r="F1917" s="27"/>
    </row>
    <row r="1918" spans="2:6" x14ac:dyDescent="0.25">
      <c r="B1918" s="20"/>
      <c r="C1918" s="20"/>
      <c r="D1918" s="27"/>
      <c r="E1918" s="27"/>
      <c r="F1918" s="27"/>
    </row>
    <row r="1919" spans="2:6" x14ac:dyDescent="0.25">
      <c r="B1919" s="20"/>
      <c r="C1919" s="20"/>
      <c r="D1919" s="27"/>
      <c r="E1919" s="27"/>
      <c r="F1919" s="27"/>
    </row>
    <row r="1920" spans="2:6" x14ac:dyDescent="0.25">
      <c r="B1920" s="20"/>
      <c r="C1920" s="20"/>
      <c r="D1920" s="27"/>
      <c r="E1920" s="27"/>
      <c r="F1920" s="27"/>
    </row>
    <row r="1921" spans="2:6" x14ac:dyDescent="0.25">
      <c r="B1921" s="20"/>
      <c r="C1921" s="20"/>
      <c r="D1921" s="27"/>
      <c r="E1921" s="27"/>
      <c r="F1921" s="27"/>
    </row>
    <row r="1922" spans="2:6" x14ac:dyDescent="0.25">
      <c r="B1922" s="20"/>
      <c r="C1922" s="20"/>
      <c r="D1922" s="27"/>
      <c r="E1922" s="27"/>
      <c r="F1922" s="27"/>
    </row>
    <row r="1923" spans="2:6" x14ac:dyDescent="0.25">
      <c r="B1923" s="20"/>
      <c r="C1923" s="20"/>
      <c r="D1923" s="27"/>
      <c r="E1923" s="27"/>
      <c r="F1923" s="27"/>
    </row>
    <row r="1924" spans="2:6" x14ac:dyDescent="0.25">
      <c r="B1924" s="20"/>
      <c r="C1924" s="20"/>
      <c r="D1924" s="27"/>
      <c r="E1924" s="27"/>
      <c r="F1924" s="27"/>
    </row>
    <row r="1925" spans="2:6" x14ac:dyDescent="0.25">
      <c r="B1925" s="20"/>
      <c r="C1925" s="20"/>
      <c r="D1925" s="27"/>
      <c r="E1925" s="27"/>
      <c r="F1925" s="27"/>
    </row>
    <row r="1926" spans="2:6" x14ac:dyDescent="0.25">
      <c r="B1926" s="20"/>
      <c r="C1926" s="20"/>
      <c r="D1926" s="27"/>
      <c r="E1926" s="27"/>
      <c r="F1926" s="27"/>
    </row>
    <row r="1927" spans="2:6" x14ac:dyDescent="0.25">
      <c r="B1927" s="20"/>
      <c r="C1927" s="20"/>
      <c r="D1927" s="27"/>
      <c r="E1927" s="27"/>
      <c r="F1927" s="27"/>
    </row>
    <row r="1928" spans="2:6" x14ac:dyDescent="0.25">
      <c r="B1928" s="20"/>
      <c r="C1928" s="20"/>
      <c r="D1928" s="27"/>
      <c r="E1928" s="27"/>
      <c r="F1928" s="27"/>
    </row>
    <row r="1929" spans="2:6" x14ac:dyDescent="0.25">
      <c r="B1929" s="20"/>
      <c r="C1929" s="20"/>
      <c r="D1929" s="27"/>
      <c r="E1929" s="27"/>
      <c r="F1929" s="27"/>
    </row>
    <row r="1930" spans="2:6" x14ac:dyDescent="0.25">
      <c r="B1930" s="20"/>
      <c r="C1930" s="20"/>
      <c r="D1930" s="27"/>
      <c r="E1930" s="27"/>
      <c r="F1930" s="27"/>
    </row>
    <row r="1931" spans="2:6" x14ac:dyDescent="0.25">
      <c r="B1931" s="20"/>
      <c r="C1931" s="20"/>
      <c r="D1931" s="27"/>
      <c r="E1931" s="27"/>
      <c r="F1931" s="27"/>
    </row>
    <row r="1932" spans="2:6" x14ac:dyDescent="0.25">
      <c r="B1932" s="20"/>
      <c r="C1932" s="20"/>
      <c r="D1932" s="27"/>
      <c r="E1932" s="27"/>
      <c r="F1932" s="27"/>
    </row>
    <row r="1933" spans="2:6" x14ac:dyDescent="0.25">
      <c r="B1933" s="20"/>
      <c r="C1933" s="20"/>
      <c r="D1933" s="27"/>
      <c r="E1933" s="27"/>
      <c r="F1933" s="27"/>
    </row>
    <row r="1934" spans="2:6" x14ac:dyDescent="0.25">
      <c r="B1934" s="20"/>
      <c r="C1934" s="20"/>
      <c r="D1934" s="27"/>
      <c r="E1934" s="27"/>
      <c r="F1934" s="27"/>
    </row>
    <row r="1935" spans="2:6" x14ac:dyDescent="0.25">
      <c r="B1935" s="20"/>
      <c r="C1935" s="20"/>
      <c r="D1935" s="27"/>
      <c r="E1935" s="27"/>
      <c r="F1935" s="27"/>
    </row>
    <row r="1936" spans="2:6" x14ac:dyDescent="0.25">
      <c r="B1936" s="20"/>
      <c r="C1936" s="20"/>
      <c r="D1936" s="27"/>
      <c r="E1936" s="27"/>
      <c r="F1936" s="27"/>
    </row>
    <row r="1937" spans="2:6" x14ac:dyDescent="0.25">
      <c r="B1937" s="20"/>
      <c r="C1937" s="20"/>
      <c r="D1937" s="27"/>
      <c r="E1937" s="27"/>
      <c r="F1937" s="27"/>
    </row>
    <row r="1938" spans="2:6" x14ac:dyDescent="0.25">
      <c r="B1938" s="20"/>
      <c r="C1938" s="20"/>
      <c r="D1938" s="27"/>
      <c r="E1938" s="27"/>
      <c r="F1938" s="27"/>
    </row>
    <row r="1939" spans="2:6" x14ac:dyDescent="0.25">
      <c r="B1939" s="20"/>
      <c r="C1939" s="20"/>
      <c r="D1939" s="27"/>
      <c r="E1939" s="27"/>
      <c r="F1939" s="27"/>
    </row>
    <row r="1940" spans="2:6" x14ac:dyDescent="0.25">
      <c r="B1940" s="20"/>
      <c r="C1940" s="20"/>
      <c r="D1940" s="27"/>
      <c r="E1940" s="27"/>
      <c r="F1940" s="27"/>
    </row>
    <row r="1941" spans="2:6" x14ac:dyDescent="0.25">
      <c r="B1941" s="20"/>
      <c r="C1941" s="20"/>
      <c r="D1941" s="27"/>
      <c r="E1941" s="27"/>
      <c r="F1941" s="27"/>
    </row>
    <row r="1942" spans="2:6" x14ac:dyDescent="0.25">
      <c r="B1942" s="20"/>
      <c r="C1942" s="20"/>
      <c r="D1942" s="27"/>
      <c r="E1942" s="27"/>
      <c r="F1942" s="27"/>
    </row>
    <row r="1943" spans="2:6" x14ac:dyDescent="0.25">
      <c r="B1943" s="20"/>
      <c r="C1943" s="20"/>
      <c r="D1943" s="27"/>
      <c r="E1943" s="27"/>
      <c r="F1943" s="27"/>
    </row>
    <row r="1944" spans="2:6" x14ac:dyDescent="0.25">
      <c r="B1944" s="20"/>
      <c r="C1944" s="20"/>
      <c r="D1944" s="27"/>
      <c r="E1944" s="27"/>
      <c r="F1944" s="27"/>
    </row>
    <row r="1945" spans="2:6" x14ac:dyDescent="0.25">
      <c r="B1945" s="20"/>
      <c r="C1945" s="20"/>
      <c r="D1945" s="27"/>
      <c r="E1945" s="27"/>
      <c r="F1945" s="27"/>
    </row>
    <row r="1946" spans="2:6" x14ac:dyDescent="0.25">
      <c r="B1946" s="20"/>
      <c r="C1946" s="20"/>
      <c r="D1946" s="27"/>
      <c r="E1946" s="27"/>
      <c r="F1946" s="27"/>
    </row>
    <row r="1947" spans="2:6" x14ac:dyDescent="0.25">
      <c r="B1947" s="20"/>
      <c r="C1947" s="20"/>
      <c r="D1947" s="27"/>
      <c r="E1947" s="27"/>
      <c r="F1947" s="27"/>
    </row>
    <row r="1948" spans="2:6" x14ac:dyDescent="0.25">
      <c r="B1948" s="20"/>
      <c r="C1948" s="20"/>
      <c r="D1948" s="27"/>
      <c r="E1948" s="27"/>
      <c r="F1948" s="27"/>
    </row>
    <row r="1949" spans="2:6" x14ac:dyDescent="0.25">
      <c r="B1949" s="20"/>
      <c r="C1949" s="20"/>
      <c r="D1949" s="27"/>
      <c r="E1949" s="27"/>
      <c r="F1949" s="27"/>
    </row>
    <row r="1950" spans="2:6" x14ac:dyDescent="0.25">
      <c r="B1950" s="20"/>
      <c r="C1950" s="20"/>
      <c r="D1950" s="27"/>
      <c r="E1950" s="27"/>
      <c r="F1950" s="27"/>
    </row>
    <row r="1951" spans="2:6" x14ac:dyDescent="0.25">
      <c r="B1951" s="20"/>
      <c r="C1951" s="20"/>
      <c r="D1951" s="27"/>
      <c r="E1951" s="27"/>
      <c r="F1951" s="27"/>
    </row>
    <row r="1952" spans="2:6" x14ac:dyDescent="0.25">
      <c r="B1952" s="20"/>
      <c r="C1952" s="20"/>
      <c r="D1952" s="27"/>
      <c r="E1952" s="27"/>
      <c r="F1952" s="27"/>
    </row>
    <row r="1953" spans="2:6" x14ac:dyDescent="0.25">
      <c r="B1953" s="20"/>
      <c r="C1953" s="20"/>
      <c r="D1953" s="27"/>
      <c r="E1953" s="27"/>
      <c r="F1953" s="27"/>
    </row>
    <row r="1954" spans="2:6" x14ac:dyDescent="0.25">
      <c r="B1954" s="20"/>
      <c r="C1954" s="20"/>
      <c r="D1954" s="27"/>
      <c r="E1954" s="27"/>
      <c r="F1954" s="27"/>
    </row>
    <row r="1955" spans="2:6" x14ac:dyDescent="0.25">
      <c r="B1955" s="20"/>
      <c r="C1955" s="20"/>
      <c r="D1955" s="27"/>
      <c r="E1955" s="27"/>
      <c r="F1955" s="27"/>
    </row>
    <row r="1956" spans="2:6" x14ac:dyDescent="0.25">
      <c r="B1956" s="20"/>
      <c r="C1956" s="20"/>
      <c r="D1956" s="27"/>
      <c r="E1956" s="27"/>
      <c r="F1956" s="27"/>
    </row>
    <row r="1957" spans="2:6" x14ac:dyDescent="0.25">
      <c r="B1957" s="20"/>
      <c r="C1957" s="20"/>
      <c r="D1957" s="27"/>
      <c r="E1957" s="27"/>
      <c r="F1957" s="27"/>
    </row>
    <row r="1958" spans="2:6" x14ac:dyDescent="0.25">
      <c r="B1958" s="20"/>
      <c r="C1958" s="20"/>
      <c r="D1958" s="27"/>
      <c r="E1958" s="27"/>
      <c r="F1958" s="27"/>
    </row>
    <row r="1959" spans="2:6" x14ac:dyDescent="0.25">
      <c r="B1959" s="20"/>
      <c r="C1959" s="20"/>
      <c r="D1959" s="27"/>
      <c r="E1959" s="27"/>
      <c r="F1959" s="27"/>
    </row>
    <row r="1960" spans="2:6" x14ac:dyDescent="0.25">
      <c r="B1960" s="20"/>
      <c r="C1960" s="20"/>
      <c r="D1960" s="27"/>
      <c r="E1960" s="27"/>
      <c r="F1960" s="27"/>
    </row>
    <row r="1961" spans="2:6" x14ac:dyDescent="0.25">
      <c r="B1961" s="20"/>
      <c r="C1961" s="20"/>
      <c r="D1961" s="27"/>
      <c r="E1961" s="27"/>
      <c r="F1961" s="27"/>
    </row>
    <row r="1962" spans="2:6" x14ac:dyDescent="0.25">
      <c r="B1962" s="20"/>
      <c r="C1962" s="20"/>
      <c r="D1962" s="27"/>
      <c r="E1962" s="27"/>
      <c r="F1962" s="27"/>
    </row>
    <row r="1963" spans="2:6" x14ac:dyDescent="0.25">
      <c r="B1963" s="20"/>
      <c r="C1963" s="20"/>
      <c r="D1963" s="27"/>
      <c r="E1963" s="27"/>
      <c r="F1963" s="27"/>
    </row>
    <row r="1964" spans="2:6" x14ac:dyDescent="0.25">
      <c r="B1964" s="20"/>
      <c r="C1964" s="20"/>
      <c r="D1964" s="27"/>
      <c r="E1964" s="27"/>
      <c r="F1964" s="27"/>
    </row>
    <row r="1965" spans="2:6" x14ac:dyDescent="0.25">
      <c r="B1965" s="20"/>
      <c r="C1965" s="20"/>
      <c r="D1965" s="27"/>
      <c r="E1965" s="27"/>
      <c r="F1965" s="27"/>
    </row>
    <row r="1966" spans="2:6" x14ac:dyDescent="0.25">
      <c r="B1966" s="20"/>
      <c r="C1966" s="20"/>
      <c r="D1966" s="27"/>
      <c r="E1966" s="27"/>
      <c r="F1966" s="27"/>
    </row>
    <row r="1967" spans="2:6" x14ac:dyDescent="0.25">
      <c r="B1967" s="20"/>
      <c r="C1967" s="20"/>
      <c r="D1967" s="27"/>
      <c r="E1967" s="27"/>
      <c r="F1967" s="27"/>
    </row>
    <row r="1968" spans="2:6" x14ac:dyDescent="0.25">
      <c r="B1968" s="20"/>
      <c r="C1968" s="20"/>
      <c r="D1968" s="27"/>
      <c r="E1968" s="27"/>
      <c r="F1968" s="27"/>
    </row>
    <row r="1969" spans="2:6" x14ac:dyDescent="0.25">
      <c r="B1969" s="20"/>
      <c r="C1969" s="20"/>
      <c r="D1969" s="27"/>
      <c r="E1969" s="27"/>
      <c r="F1969" s="27"/>
    </row>
    <row r="1970" spans="2:6" x14ac:dyDescent="0.25">
      <c r="B1970" s="20"/>
      <c r="C1970" s="20"/>
      <c r="D1970" s="27"/>
      <c r="E1970" s="27"/>
      <c r="F1970" s="27"/>
    </row>
    <row r="1971" spans="2:6" x14ac:dyDescent="0.25">
      <c r="B1971" s="20"/>
      <c r="C1971" s="20"/>
      <c r="D1971" s="27"/>
      <c r="E1971" s="27"/>
      <c r="F1971" s="27"/>
    </row>
    <row r="1972" spans="2:6" x14ac:dyDescent="0.25">
      <c r="B1972" s="20"/>
      <c r="C1972" s="20"/>
      <c r="D1972" s="27"/>
      <c r="E1972" s="27"/>
      <c r="F1972" s="27"/>
    </row>
    <row r="1973" spans="2:6" x14ac:dyDescent="0.25">
      <c r="B1973" s="20"/>
      <c r="C1973" s="20"/>
      <c r="D1973" s="27"/>
      <c r="E1973" s="27"/>
      <c r="F1973" s="27"/>
    </row>
    <row r="1974" spans="2:6" x14ac:dyDescent="0.25">
      <c r="B1974" s="20"/>
      <c r="C1974" s="20"/>
      <c r="D1974" s="27"/>
      <c r="E1974" s="27"/>
      <c r="F1974" s="27"/>
    </row>
    <row r="1975" spans="2:6" x14ac:dyDescent="0.25">
      <c r="B1975" s="20"/>
      <c r="C1975" s="20"/>
      <c r="D1975" s="27"/>
      <c r="E1975" s="27"/>
      <c r="F1975" s="27"/>
    </row>
    <row r="1976" spans="2:6" x14ac:dyDescent="0.25">
      <c r="B1976" s="20"/>
      <c r="C1976" s="20"/>
      <c r="D1976" s="27"/>
      <c r="E1976" s="27"/>
      <c r="F1976" s="27"/>
    </row>
    <row r="1977" spans="2:6" x14ac:dyDescent="0.25">
      <c r="B1977" s="20"/>
      <c r="C1977" s="20"/>
      <c r="D1977" s="27"/>
      <c r="E1977" s="27"/>
      <c r="F1977" s="27"/>
    </row>
    <row r="1978" spans="2:6" x14ac:dyDescent="0.25">
      <c r="B1978" s="20"/>
      <c r="C1978" s="20"/>
      <c r="D1978" s="27"/>
      <c r="E1978" s="27"/>
      <c r="F1978" s="27"/>
    </row>
    <row r="1979" spans="2:6" x14ac:dyDescent="0.25">
      <c r="B1979" s="20"/>
      <c r="C1979" s="20"/>
      <c r="D1979" s="27"/>
      <c r="E1979" s="27"/>
      <c r="F1979" s="27"/>
    </row>
    <row r="1980" spans="2:6" x14ac:dyDescent="0.25">
      <c r="B1980" s="20"/>
      <c r="C1980" s="20"/>
      <c r="D1980" s="27"/>
      <c r="E1980" s="27"/>
      <c r="F1980" s="27"/>
    </row>
    <row r="1981" spans="2:6" x14ac:dyDescent="0.25">
      <c r="B1981" s="20"/>
      <c r="C1981" s="20"/>
      <c r="D1981" s="27"/>
      <c r="E1981" s="27"/>
      <c r="F1981" s="27"/>
    </row>
    <row r="1982" spans="2:6" x14ac:dyDescent="0.25">
      <c r="B1982" s="20"/>
      <c r="C1982" s="20"/>
      <c r="D1982" s="27"/>
      <c r="E1982" s="27"/>
      <c r="F1982" s="27"/>
    </row>
    <row r="1983" spans="2:6" x14ac:dyDescent="0.25">
      <c r="B1983" s="20"/>
      <c r="C1983" s="20"/>
      <c r="D1983" s="27"/>
      <c r="E1983" s="27"/>
      <c r="F1983" s="27"/>
    </row>
    <row r="1984" spans="2:6" x14ac:dyDescent="0.25">
      <c r="B1984" s="20"/>
      <c r="C1984" s="20"/>
      <c r="D1984" s="27"/>
      <c r="E1984" s="27"/>
      <c r="F1984" s="27"/>
    </row>
    <row r="1985" spans="2:6" x14ac:dyDescent="0.25">
      <c r="B1985" s="20"/>
      <c r="C1985" s="20"/>
      <c r="D1985" s="27"/>
      <c r="E1985" s="27"/>
      <c r="F1985" s="27"/>
    </row>
    <row r="1986" spans="2:6" x14ac:dyDescent="0.25">
      <c r="B1986" s="20"/>
      <c r="C1986" s="20"/>
      <c r="D1986" s="27"/>
      <c r="E1986" s="27"/>
      <c r="F1986" s="27"/>
    </row>
    <row r="1987" spans="2:6" x14ac:dyDescent="0.25">
      <c r="B1987" s="20"/>
      <c r="C1987" s="20"/>
      <c r="D1987" s="27"/>
      <c r="E1987" s="27"/>
      <c r="F1987" s="27"/>
    </row>
    <row r="1988" spans="2:6" x14ac:dyDescent="0.25">
      <c r="B1988" s="20"/>
      <c r="C1988" s="20"/>
      <c r="D1988" s="27"/>
      <c r="E1988" s="27"/>
      <c r="F1988" s="27"/>
    </row>
    <row r="1989" spans="2:6" x14ac:dyDescent="0.25">
      <c r="B1989" s="20"/>
      <c r="C1989" s="20"/>
      <c r="D1989" s="27"/>
      <c r="E1989" s="27"/>
      <c r="F1989" s="27"/>
    </row>
    <row r="1990" spans="2:6" x14ac:dyDescent="0.25">
      <c r="B1990" s="20"/>
      <c r="C1990" s="20"/>
      <c r="D1990" s="27"/>
      <c r="E1990" s="27"/>
      <c r="F1990" s="27"/>
    </row>
    <row r="1991" spans="2:6" x14ac:dyDescent="0.25">
      <c r="B1991" s="20"/>
      <c r="C1991" s="20"/>
      <c r="D1991" s="27"/>
      <c r="E1991" s="27"/>
      <c r="F1991" s="27"/>
    </row>
    <row r="1992" spans="2:6" x14ac:dyDescent="0.25">
      <c r="B1992" s="20"/>
      <c r="C1992" s="20"/>
      <c r="D1992" s="27"/>
      <c r="E1992" s="27"/>
      <c r="F1992" s="27"/>
    </row>
    <row r="1993" spans="2:6" x14ac:dyDescent="0.25">
      <c r="B1993" s="20"/>
      <c r="C1993" s="20"/>
      <c r="D1993" s="27"/>
      <c r="E1993" s="27"/>
      <c r="F1993" s="27"/>
    </row>
    <row r="1994" spans="2:6" x14ac:dyDescent="0.25">
      <c r="B1994" s="20"/>
      <c r="C1994" s="20"/>
      <c r="D1994" s="27"/>
      <c r="E1994" s="27"/>
      <c r="F1994" s="27"/>
    </row>
    <row r="1995" spans="2:6" x14ac:dyDescent="0.25">
      <c r="B1995" s="20"/>
      <c r="C1995" s="20"/>
      <c r="D1995" s="27"/>
      <c r="E1995" s="27"/>
      <c r="F1995" s="27"/>
    </row>
    <row r="1996" spans="2:6" x14ac:dyDescent="0.25">
      <c r="B1996" s="20"/>
      <c r="C1996" s="20"/>
      <c r="D1996" s="27"/>
      <c r="E1996" s="27"/>
      <c r="F1996" s="27"/>
    </row>
    <row r="1997" spans="2:6" x14ac:dyDescent="0.25">
      <c r="B1997" s="20"/>
      <c r="C1997" s="20"/>
      <c r="D1997" s="27"/>
      <c r="E1997" s="27"/>
      <c r="F1997" s="27"/>
    </row>
    <row r="1998" spans="2:6" x14ac:dyDescent="0.25">
      <c r="B1998" s="20"/>
      <c r="C1998" s="20"/>
      <c r="D1998" s="27"/>
      <c r="E1998" s="27"/>
      <c r="F1998" s="27"/>
    </row>
    <row r="1999" spans="2:6" x14ac:dyDescent="0.25">
      <c r="B1999" s="20"/>
      <c r="C1999" s="20"/>
      <c r="D1999" s="27"/>
      <c r="E1999" s="27"/>
      <c r="F1999" s="27"/>
    </row>
    <row r="2000" spans="2:6" x14ac:dyDescent="0.25">
      <c r="B2000" s="20"/>
      <c r="C2000" s="20"/>
      <c r="D2000" s="27"/>
      <c r="E2000" s="27"/>
      <c r="F2000" s="27"/>
    </row>
    <row r="2001" spans="2:6" x14ac:dyDescent="0.25">
      <c r="B2001" s="20"/>
      <c r="C2001" s="20"/>
      <c r="D2001" s="27"/>
      <c r="E2001" s="27"/>
      <c r="F2001" s="27"/>
    </row>
    <row r="2002" spans="2:6" x14ac:dyDescent="0.25">
      <c r="B2002" s="20"/>
      <c r="C2002" s="20"/>
      <c r="D2002" s="27"/>
      <c r="E2002" s="27"/>
      <c r="F2002" s="27"/>
    </row>
    <row r="2003" spans="2:6" x14ac:dyDescent="0.25">
      <c r="B2003" s="20"/>
      <c r="C2003" s="20"/>
      <c r="D2003" s="27"/>
      <c r="E2003" s="27"/>
      <c r="F2003" s="27"/>
    </row>
    <row r="2004" spans="2:6" x14ac:dyDescent="0.25">
      <c r="B2004" s="20"/>
      <c r="C2004" s="20"/>
      <c r="D2004" s="27"/>
      <c r="E2004" s="27"/>
      <c r="F2004" s="27"/>
    </row>
    <row r="2005" spans="2:6" x14ac:dyDescent="0.25">
      <c r="B2005" s="20"/>
      <c r="C2005" s="20"/>
      <c r="D2005" s="27"/>
      <c r="E2005" s="27"/>
      <c r="F2005" s="27"/>
    </row>
    <row r="2006" spans="2:6" x14ac:dyDescent="0.25">
      <c r="B2006" s="20"/>
      <c r="C2006" s="20"/>
      <c r="D2006" s="27"/>
      <c r="E2006" s="27"/>
      <c r="F2006" s="27"/>
    </row>
    <row r="2007" spans="2:6" x14ac:dyDescent="0.25">
      <c r="B2007" s="20"/>
      <c r="C2007" s="20"/>
      <c r="D2007" s="27"/>
      <c r="E2007" s="27"/>
      <c r="F2007" s="27"/>
    </row>
    <row r="2008" spans="2:6" x14ac:dyDescent="0.25">
      <c r="B2008" s="20"/>
      <c r="C2008" s="20"/>
      <c r="D2008" s="27"/>
      <c r="E2008" s="27"/>
      <c r="F2008" s="27"/>
    </row>
    <row r="2009" spans="2:6" x14ac:dyDescent="0.25">
      <c r="B2009" s="20"/>
      <c r="C2009" s="20"/>
      <c r="D2009" s="27"/>
      <c r="E2009" s="27"/>
      <c r="F2009" s="27"/>
    </row>
    <row r="2010" spans="2:6" x14ac:dyDescent="0.25">
      <c r="B2010" s="20"/>
      <c r="C2010" s="20"/>
      <c r="D2010" s="27"/>
      <c r="E2010" s="27"/>
      <c r="F2010" s="27"/>
    </row>
    <row r="2011" spans="2:6" x14ac:dyDescent="0.25">
      <c r="B2011" s="20"/>
      <c r="C2011" s="20"/>
      <c r="D2011" s="27"/>
      <c r="E2011" s="27"/>
      <c r="F2011" s="27"/>
    </row>
    <row r="2012" spans="2:6" x14ac:dyDescent="0.25">
      <c r="B2012" s="20"/>
      <c r="C2012" s="20"/>
      <c r="D2012" s="27"/>
      <c r="E2012" s="27"/>
      <c r="F2012" s="27"/>
    </row>
    <row r="2013" spans="2:6" x14ac:dyDescent="0.25">
      <c r="B2013" s="20"/>
      <c r="C2013" s="20"/>
      <c r="D2013" s="27"/>
      <c r="E2013" s="27"/>
      <c r="F2013" s="27"/>
    </row>
    <row r="2014" spans="2:6" x14ac:dyDescent="0.25">
      <c r="B2014" s="20"/>
      <c r="C2014" s="20"/>
      <c r="D2014" s="27"/>
      <c r="E2014" s="27"/>
      <c r="F2014" s="27"/>
    </row>
    <row r="2015" spans="2:6" x14ac:dyDescent="0.25">
      <c r="B2015" s="20"/>
      <c r="C2015" s="20"/>
      <c r="D2015" s="27"/>
      <c r="E2015" s="27"/>
      <c r="F2015" s="27"/>
    </row>
    <row r="2016" spans="2:6" x14ac:dyDescent="0.25">
      <c r="B2016" s="20"/>
      <c r="C2016" s="20"/>
      <c r="D2016" s="27"/>
      <c r="E2016" s="27"/>
      <c r="F2016" s="27"/>
    </row>
    <row r="2017" spans="2:6" x14ac:dyDescent="0.25">
      <c r="B2017" s="20"/>
      <c r="C2017" s="20"/>
      <c r="D2017" s="27"/>
      <c r="E2017" s="27"/>
      <c r="F2017" s="27"/>
    </row>
    <row r="2018" spans="2:6" x14ac:dyDescent="0.25">
      <c r="B2018" s="20"/>
      <c r="C2018" s="20"/>
      <c r="D2018" s="27"/>
      <c r="E2018" s="27"/>
      <c r="F2018" s="27"/>
    </row>
    <row r="2019" spans="2:6" x14ac:dyDescent="0.25">
      <c r="B2019" s="20"/>
      <c r="C2019" s="20"/>
      <c r="D2019" s="27"/>
      <c r="E2019" s="27"/>
      <c r="F2019" s="27"/>
    </row>
    <row r="2020" spans="2:6" x14ac:dyDescent="0.25">
      <c r="B2020" s="20"/>
      <c r="C2020" s="20"/>
      <c r="D2020" s="27"/>
      <c r="E2020" s="27"/>
      <c r="F2020" s="27"/>
    </row>
    <row r="2021" spans="2:6" x14ac:dyDescent="0.25">
      <c r="B2021" s="20"/>
      <c r="C2021" s="20"/>
      <c r="D2021" s="27"/>
      <c r="E2021" s="27"/>
      <c r="F2021" s="27"/>
    </row>
    <row r="2022" spans="2:6" x14ac:dyDescent="0.25">
      <c r="B2022" s="20"/>
      <c r="C2022" s="20"/>
      <c r="D2022" s="27"/>
      <c r="E2022" s="27"/>
      <c r="F2022" s="27"/>
    </row>
    <row r="2023" spans="2:6" x14ac:dyDescent="0.25">
      <c r="B2023" s="20"/>
      <c r="C2023" s="20"/>
      <c r="D2023" s="27"/>
      <c r="E2023" s="27"/>
      <c r="F2023" s="27"/>
    </row>
    <row r="2024" spans="2:6" x14ac:dyDescent="0.25">
      <c r="B2024" s="20"/>
      <c r="C2024" s="20"/>
      <c r="D2024" s="27"/>
      <c r="E2024" s="27"/>
      <c r="F2024" s="27"/>
    </row>
    <row r="2025" spans="2:6" x14ac:dyDescent="0.25">
      <c r="B2025" s="20"/>
      <c r="C2025" s="20"/>
      <c r="D2025" s="27"/>
      <c r="E2025" s="27"/>
      <c r="F2025" s="27"/>
    </row>
    <row r="2026" spans="2:6" x14ac:dyDescent="0.25">
      <c r="B2026" s="20"/>
      <c r="C2026" s="20"/>
      <c r="D2026" s="27"/>
      <c r="E2026" s="27"/>
      <c r="F2026" s="27"/>
    </row>
    <row r="2027" spans="2:6" x14ac:dyDescent="0.25">
      <c r="B2027" s="20"/>
      <c r="C2027" s="20"/>
      <c r="D2027" s="27"/>
      <c r="E2027" s="27"/>
      <c r="F2027" s="27"/>
    </row>
    <row r="2028" spans="2:6" x14ac:dyDescent="0.25">
      <c r="B2028" s="20"/>
      <c r="C2028" s="20"/>
      <c r="D2028" s="27"/>
      <c r="E2028" s="27"/>
      <c r="F2028" s="27"/>
    </row>
    <row r="2029" spans="2:6" x14ac:dyDescent="0.25">
      <c r="B2029" s="20"/>
      <c r="C2029" s="20"/>
      <c r="D2029" s="27"/>
      <c r="E2029" s="27"/>
      <c r="F2029" s="27"/>
    </row>
    <row r="2030" spans="2:6" x14ac:dyDescent="0.25">
      <c r="B2030" s="20"/>
      <c r="C2030" s="20"/>
      <c r="D2030" s="27"/>
      <c r="E2030" s="27"/>
      <c r="F2030" s="27"/>
    </row>
    <row r="2031" spans="2:6" x14ac:dyDescent="0.25">
      <c r="B2031" s="20"/>
      <c r="C2031" s="20"/>
      <c r="D2031" s="27"/>
      <c r="E2031" s="27"/>
      <c r="F2031" s="27"/>
    </row>
    <row r="2032" spans="2:6" x14ac:dyDescent="0.25">
      <c r="B2032" s="20"/>
      <c r="C2032" s="20"/>
      <c r="D2032" s="27"/>
      <c r="E2032" s="27"/>
      <c r="F2032" s="27"/>
    </row>
    <row r="2033" spans="2:6" x14ac:dyDescent="0.25">
      <c r="B2033" s="20"/>
      <c r="C2033" s="20"/>
      <c r="D2033" s="27"/>
      <c r="E2033" s="27"/>
      <c r="F2033" s="27"/>
    </row>
    <row r="2034" spans="2:6" x14ac:dyDescent="0.25">
      <c r="B2034" s="20"/>
      <c r="C2034" s="20"/>
      <c r="D2034" s="27"/>
      <c r="E2034" s="27"/>
      <c r="F2034" s="27"/>
    </row>
    <row r="2035" spans="2:6" x14ac:dyDescent="0.25">
      <c r="B2035" s="20"/>
      <c r="C2035" s="20"/>
      <c r="D2035" s="27"/>
      <c r="E2035" s="27"/>
      <c r="F2035" s="27"/>
    </row>
    <row r="2036" spans="2:6" x14ac:dyDescent="0.25">
      <c r="B2036" s="20"/>
      <c r="C2036" s="20"/>
      <c r="D2036" s="27"/>
      <c r="E2036" s="27"/>
      <c r="F2036" s="27"/>
    </row>
    <row r="2037" spans="2:6" x14ac:dyDescent="0.25">
      <c r="B2037" s="20"/>
      <c r="C2037" s="20"/>
      <c r="D2037" s="27"/>
      <c r="E2037" s="27"/>
      <c r="F2037" s="27"/>
    </row>
    <row r="2038" spans="2:6" x14ac:dyDescent="0.25">
      <c r="B2038" s="20"/>
      <c r="C2038" s="20"/>
      <c r="D2038" s="27"/>
      <c r="E2038" s="27"/>
      <c r="F2038" s="27"/>
    </row>
    <row r="2039" spans="2:6" x14ac:dyDescent="0.25">
      <c r="B2039" s="20"/>
      <c r="C2039" s="20"/>
      <c r="D2039" s="27"/>
      <c r="E2039" s="27"/>
      <c r="F2039" s="27"/>
    </row>
    <row r="2040" spans="2:6" x14ac:dyDescent="0.25">
      <c r="B2040" s="20"/>
      <c r="C2040" s="20"/>
      <c r="D2040" s="27"/>
      <c r="E2040" s="27"/>
      <c r="F2040" s="27"/>
    </row>
    <row r="2041" spans="2:6" x14ac:dyDescent="0.25">
      <c r="B2041" s="20"/>
      <c r="C2041" s="20"/>
      <c r="D2041" s="27"/>
      <c r="E2041" s="27"/>
      <c r="F2041" s="27"/>
    </row>
    <row r="2042" spans="2:6" x14ac:dyDescent="0.25">
      <c r="B2042" s="20"/>
      <c r="C2042" s="20"/>
      <c r="D2042" s="27"/>
      <c r="E2042" s="27"/>
      <c r="F2042" s="27"/>
    </row>
    <row r="2043" spans="2:6" x14ac:dyDescent="0.25">
      <c r="B2043" s="20"/>
      <c r="C2043" s="20"/>
      <c r="D2043" s="27"/>
      <c r="E2043" s="27"/>
      <c r="F2043" s="27"/>
    </row>
    <row r="2044" spans="2:6" x14ac:dyDescent="0.25">
      <c r="B2044" s="20"/>
      <c r="C2044" s="20"/>
      <c r="D2044" s="27"/>
      <c r="E2044" s="27"/>
      <c r="F2044" s="27"/>
    </row>
    <row r="2045" spans="2:6" x14ac:dyDescent="0.25">
      <c r="B2045" s="20"/>
      <c r="C2045" s="20"/>
      <c r="D2045" s="27"/>
      <c r="E2045" s="27"/>
      <c r="F2045" s="27"/>
    </row>
    <row r="2046" spans="2:6" x14ac:dyDescent="0.25">
      <c r="B2046" s="20"/>
      <c r="C2046" s="20"/>
      <c r="D2046" s="27"/>
      <c r="E2046" s="27"/>
      <c r="F2046" s="27"/>
    </row>
    <row r="2047" spans="2:6" x14ac:dyDescent="0.25">
      <c r="B2047" s="20"/>
      <c r="C2047" s="20"/>
      <c r="D2047" s="27"/>
      <c r="E2047" s="27"/>
      <c r="F2047" s="27"/>
    </row>
    <row r="2048" spans="2:6" x14ac:dyDescent="0.25">
      <c r="B2048" s="20"/>
      <c r="C2048" s="20"/>
      <c r="D2048" s="27"/>
      <c r="E2048" s="27"/>
      <c r="F2048" s="27"/>
    </row>
    <row r="2049" spans="2:6" x14ac:dyDescent="0.25">
      <c r="B2049" s="20"/>
      <c r="C2049" s="20"/>
      <c r="D2049" s="27"/>
      <c r="E2049" s="27"/>
      <c r="F2049" s="27"/>
    </row>
    <row r="2050" spans="2:6" x14ac:dyDescent="0.25">
      <c r="B2050" s="20"/>
      <c r="C2050" s="20"/>
      <c r="D2050" s="27"/>
      <c r="E2050" s="27"/>
      <c r="F2050" s="27"/>
    </row>
    <row r="2051" spans="2:6" x14ac:dyDescent="0.25">
      <c r="B2051" s="20"/>
      <c r="C2051" s="20"/>
      <c r="D2051" s="27"/>
      <c r="E2051" s="27"/>
      <c r="F2051" s="27"/>
    </row>
    <row r="2052" spans="2:6" x14ac:dyDescent="0.25">
      <c r="B2052" s="20"/>
      <c r="C2052" s="20"/>
      <c r="D2052" s="27"/>
      <c r="E2052" s="27"/>
      <c r="F2052" s="27"/>
    </row>
    <row r="2053" spans="2:6" x14ac:dyDescent="0.25">
      <c r="B2053" s="20"/>
      <c r="C2053" s="20"/>
      <c r="D2053" s="27"/>
      <c r="E2053" s="27"/>
      <c r="F2053" s="27"/>
    </row>
    <row r="2054" spans="2:6" x14ac:dyDescent="0.25">
      <c r="B2054" s="20"/>
      <c r="C2054" s="20"/>
      <c r="D2054" s="27"/>
      <c r="E2054" s="27"/>
      <c r="F2054" s="27"/>
    </row>
    <row r="2055" spans="2:6" x14ac:dyDescent="0.25">
      <c r="B2055" s="20"/>
      <c r="C2055" s="20"/>
      <c r="D2055" s="27"/>
      <c r="E2055" s="27"/>
      <c r="F2055" s="27"/>
    </row>
    <row r="2056" spans="2:6" x14ac:dyDescent="0.25">
      <c r="B2056" s="20"/>
      <c r="C2056" s="20"/>
      <c r="D2056" s="27"/>
      <c r="E2056" s="27"/>
      <c r="F2056" s="27"/>
    </row>
    <row r="2057" spans="2:6" x14ac:dyDescent="0.25">
      <c r="B2057" s="20"/>
      <c r="C2057" s="20"/>
      <c r="D2057" s="27"/>
      <c r="E2057" s="27"/>
      <c r="F2057" s="27"/>
    </row>
    <row r="2058" spans="2:6" x14ac:dyDescent="0.25">
      <c r="B2058" s="20"/>
      <c r="C2058" s="20"/>
      <c r="D2058" s="27"/>
      <c r="E2058" s="27"/>
      <c r="F2058" s="27"/>
    </row>
    <row r="2059" spans="2:6" x14ac:dyDescent="0.25">
      <c r="B2059" s="20"/>
      <c r="C2059" s="20"/>
      <c r="D2059" s="27"/>
      <c r="E2059" s="27"/>
      <c r="F2059" s="27"/>
    </row>
    <row r="2060" spans="2:6" x14ac:dyDescent="0.25">
      <c r="B2060" s="20"/>
      <c r="C2060" s="20"/>
      <c r="D2060" s="27"/>
      <c r="E2060" s="27"/>
      <c r="F2060" s="27"/>
    </row>
    <row r="2061" spans="2:6" x14ac:dyDescent="0.25">
      <c r="B2061" s="20"/>
      <c r="C2061" s="20"/>
      <c r="D2061" s="27"/>
      <c r="E2061" s="27"/>
      <c r="F2061" s="27"/>
    </row>
    <row r="2062" spans="2:6" x14ac:dyDescent="0.25">
      <c r="B2062" s="20"/>
      <c r="C2062" s="20"/>
      <c r="D2062" s="27"/>
      <c r="E2062" s="27"/>
      <c r="F2062" s="27"/>
    </row>
    <row r="2063" spans="2:6" x14ac:dyDescent="0.25">
      <c r="B2063" s="20"/>
      <c r="C2063" s="20"/>
      <c r="D2063" s="27"/>
      <c r="E2063" s="27"/>
      <c r="F2063" s="27"/>
    </row>
    <row r="2064" spans="2:6" x14ac:dyDescent="0.25">
      <c r="B2064" s="20"/>
      <c r="C2064" s="20"/>
      <c r="D2064" s="27"/>
      <c r="E2064" s="27"/>
      <c r="F2064" s="27"/>
    </row>
    <row r="2065" spans="2:6" x14ac:dyDescent="0.25">
      <c r="B2065" s="20"/>
      <c r="C2065" s="20"/>
      <c r="D2065" s="27"/>
      <c r="E2065" s="27"/>
      <c r="F2065" s="27"/>
    </row>
    <row r="2066" spans="2:6" x14ac:dyDescent="0.25">
      <c r="B2066" s="20"/>
      <c r="C2066" s="20"/>
      <c r="D2066" s="27"/>
      <c r="E2066" s="27"/>
      <c r="F2066" s="27"/>
    </row>
    <row r="2067" spans="2:6" x14ac:dyDescent="0.25">
      <c r="B2067" s="20"/>
      <c r="C2067" s="20"/>
      <c r="D2067" s="27"/>
      <c r="E2067" s="27"/>
      <c r="F2067" s="27"/>
    </row>
    <row r="2068" spans="2:6" x14ac:dyDescent="0.25">
      <c r="B2068" s="20"/>
      <c r="C2068" s="20"/>
      <c r="D2068" s="27"/>
      <c r="E2068" s="27"/>
      <c r="F2068" s="27"/>
    </row>
    <row r="2069" spans="2:6" x14ac:dyDescent="0.25">
      <c r="B2069" s="20"/>
      <c r="C2069" s="20"/>
      <c r="D2069" s="27"/>
      <c r="E2069" s="27"/>
      <c r="F2069" s="27"/>
    </row>
    <row r="2070" spans="2:6" x14ac:dyDescent="0.25">
      <c r="B2070" s="20"/>
      <c r="C2070" s="20"/>
      <c r="D2070" s="27"/>
      <c r="E2070" s="27"/>
      <c r="F2070" s="27"/>
    </row>
    <row r="2071" spans="2:6" x14ac:dyDescent="0.25">
      <c r="B2071" s="20"/>
      <c r="C2071" s="20"/>
      <c r="D2071" s="27"/>
      <c r="E2071" s="27"/>
      <c r="F2071" s="27"/>
    </row>
    <row r="2072" spans="2:6" x14ac:dyDescent="0.25">
      <c r="B2072" s="20"/>
      <c r="C2072" s="20"/>
      <c r="D2072" s="27"/>
      <c r="E2072" s="27"/>
      <c r="F2072" s="27"/>
    </row>
    <row r="2073" spans="2:6" x14ac:dyDescent="0.25">
      <c r="B2073" s="20"/>
      <c r="C2073" s="20"/>
      <c r="D2073" s="27"/>
      <c r="E2073" s="27"/>
      <c r="F2073" s="27"/>
    </row>
    <row r="2074" spans="2:6" x14ac:dyDescent="0.25">
      <c r="B2074" s="20"/>
      <c r="C2074" s="20"/>
      <c r="D2074" s="27"/>
      <c r="E2074" s="27"/>
      <c r="F2074" s="27"/>
    </row>
    <row r="2075" spans="2:6" x14ac:dyDescent="0.25">
      <c r="B2075" s="20"/>
      <c r="C2075" s="20"/>
      <c r="D2075" s="27"/>
      <c r="E2075" s="27"/>
      <c r="F2075" s="27"/>
    </row>
    <row r="2076" spans="2:6" x14ac:dyDescent="0.25">
      <c r="B2076" s="20"/>
      <c r="C2076" s="20"/>
      <c r="D2076" s="27"/>
      <c r="E2076" s="27"/>
      <c r="F2076" s="27"/>
    </row>
    <row r="2077" spans="2:6" x14ac:dyDescent="0.25">
      <c r="B2077" s="20"/>
      <c r="C2077" s="20"/>
      <c r="D2077" s="27"/>
      <c r="E2077" s="27"/>
      <c r="F2077" s="27"/>
    </row>
    <row r="2078" spans="2:6" x14ac:dyDescent="0.25">
      <c r="B2078" s="20"/>
      <c r="C2078" s="20"/>
      <c r="D2078" s="27"/>
      <c r="E2078" s="27"/>
      <c r="F2078" s="27"/>
    </row>
    <row r="2079" spans="2:6" x14ac:dyDescent="0.25">
      <c r="B2079" s="20"/>
      <c r="C2079" s="20"/>
      <c r="D2079" s="27"/>
      <c r="E2079" s="27"/>
      <c r="F2079" s="27"/>
    </row>
    <row r="2080" spans="2:6" x14ac:dyDescent="0.25">
      <c r="B2080" s="20"/>
      <c r="C2080" s="20"/>
      <c r="D2080" s="27"/>
      <c r="E2080" s="27"/>
      <c r="F2080" s="27"/>
    </row>
    <row r="2081" spans="2:6" x14ac:dyDescent="0.25">
      <c r="B2081" s="20"/>
      <c r="C2081" s="20"/>
      <c r="D2081" s="27"/>
      <c r="E2081" s="27"/>
      <c r="F2081" s="27"/>
    </row>
    <row r="2082" spans="2:6" x14ac:dyDescent="0.25">
      <c r="B2082" s="20"/>
      <c r="C2082" s="20"/>
      <c r="D2082" s="27"/>
      <c r="E2082" s="27"/>
      <c r="F2082" s="27"/>
    </row>
    <row r="2083" spans="2:6" x14ac:dyDescent="0.25">
      <c r="B2083" s="20"/>
      <c r="C2083" s="20"/>
      <c r="D2083" s="27"/>
      <c r="E2083" s="27"/>
      <c r="F2083" s="27"/>
    </row>
    <row r="2084" spans="2:6" x14ac:dyDescent="0.25">
      <c r="B2084" s="20"/>
      <c r="C2084" s="20"/>
      <c r="D2084" s="27"/>
      <c r="E2084" s="27"/>
      <c r="F2084" s="27"/>
    </row>
    <row r="2085" spans="2:6" x14ac:dyDescent="0.25">
      <c r="B2085" s="20"/>
      <c r="C2085" s="20"/>
      <c r="D2085" s="27"/>
      <c r="E2085" s="27"/>
      <c r="F2085" s="27"/>
    </row>
    <row r="2086" spans="2:6" x14ac:dyDescent="0.25">
      <c r="B2086" s="20"/>
      <c r="C2086" s="20"/>
      <c r="D2086" s="27"/>
      <c r="E2086" s="27"/>
      <c r="F2086" s="27"/>
    </row>
    <row r="2087" spans="2:6" x14ac:dyDescent="0.25">
      <c r="B2087" s="20"/>
      <c r="C2087" s="20"/>
      <c r="D2087" s="27"/>
      <c r="E2087" s="27"/>
      <c r="F2087" s="27"/>
    </row>
    <row r="2088" spans="2:6" x14ac:dyDescent="0.25">
      <c r="B2088" s="20"/>
      <c r="C2088" s="20"/>
      <c r="D2088" s="27"/>
      <c r="E2088" s="27"/>
      <c r="F2088" s="27"/>
    </row>
    <row r="2089" spans="2:6" x14ac:dyDescent="0.25">
      <c r="B2089" s="20"/>
      <c r="C2089" s="20"/>
      <c r="D2089" s="27"/>
      <c r="E2089" s="27"/>
      <c r="F2089" s="27"/>
    </row>
    <row r="2090" spans="2:6" x14ac:dyDescent="0.25">
      <c r="B2090" s="20"/>
      <c r="C2090" s="20"/>
      <c r="D2090" s="27"/>
      <c r="E2090" s="27"/>
      <c r="F2090" s="27"/>
    </row>
    <row r="2091" spans="2:6" x14ac:dyDescent="0.25">
      <c r="B2091" s="20"/>
      <c r="C2091" s="20"/>
      <c r="D2091" s="27"/>
      <c r="E2091" s="27"/>
      <c r="F2091" s="27"/>
    </row>
    <row r="2092" spans="2:6" x14ac:dyDescent="0.25">
      <c r="B2092" s="20"/>
      <c r="C2092" s="20"/>
      <c r="D2092" s="27"/>
      <c r="E2092" s="27"/>
      <c r="F2092" s="27"/>
    </row>
    <row r="2093" spans="2:6" x14ac:dyDescent="0.25">
      <c r="B2093" s="20"/>
      <c r="C2093" s="20"/>
      <c r="D2093" s="27"/>
      <c r="E2093" s="27"/>
      <c r="F2093" s="27"/>
    </row>
    <row r="2094" spans="2:6" x14ac:dyDescent="0.25">
      <c r="B2094" s="20"/>
      <c r="C2094" s="20"/>
      <c r="D2094" s="27"/>
      <c r="E2094" s="27"/>
      <c r="F2094" s="27"/>
    </row>
    <row r="2095" spans="2:6" x14ac:dyDescent="0.25">
      <c r="B2095" s="20"/>
      <c r="C2095" s="20"/>
      <c r="D2095" s="27"/>
      <c r="E2095" s="27"/>
      <c r="F2095" s="27"/>
    </row>
    <row r="2096" spans="2:6" x14ac:dyDescent="0.25">
      <c r="B2096" s="20"/>
      <c r="C2096" s="20"/>
      <c r="D2096" s="27"/>
      <c r="E2096" s="27"/>
      <c r="F2096" s="27"/>
    </row>
    <row r="2097" spans="2:6" x14ac:dyDescent="0.25">
      <c r="B2097" s="20"/>
      <c r="C2097" s="20"/>
      <c r="D2097" s="27"/>
      <c r="E2097" s="27"/>
      <c r="F2097" s="27"/>
    </row>
    <row r="2098" spans="2:6" x14ac:dyDescent="0.25">
      <c r="B2098" s="20"/>
      <c r="C2098" s="20"/>
      <c r="D2098" s="27"/>
      <c r="E2098" s="27"/>
      <c r="F2098" s="27"/>
    </row>
    <row r="2099" spans="2:6" x14ac:dyDescent="0.25">
      <c r="B2099" s="20"/>
      <c r="C2099" s="20"/>
      <c r="D2099" s="27"/>
      <c r="E2099" s="27"/>
      <c r="F2099" s="27"/>
    </row>
    <row r="2100" spans="2:6" x14ac:dyDescent="0.25">
      <c r="B2100" s="20"/>
      <c r="C2100" s="20"/>
      <c r="D2100" s="27"/>
      <c r="E2100" s="27"/>
      <c r="F2100" s="27"/>
    </row>
    <row r="2101" spans="2:6" x14ac:dyDescent="0.25">
      <c r="B2101" s="20"/>
      <c r="C2101" s="20"/>
      <c r="D2101" s="27"/>
      <c r="E2101" s="27"/>
      <c r="F2101" s="27"/>
    </row>
    <row r="2102" spans="2:6" x14ac:dyDescent="0.25">
      <c r="B2102" s="20"/>
      <c r="C2102" s="20"/>
      <c r="D2102" s="27"/>
      <c r="E2102" s="27"/>
      <c r="F2102" s="27"/>
    </row>
    <row r="2103" spans="2:6" x14ac:dyDescent="0.25">
      <c r="B2103" s="20"/>
      <c r="C2103" s="20"/>
      <c r="D2103" s="27"/>
      <c r="E2103" s="27"/>
      <c r="F2103" s="27"/>
    </row>
    <row r="2104" spans="2:6" x14ac:dyDescent="0.25">
      <c r="B2104" s="20"/>
      <c r="C2104" s="20"/>
      <c r="D2104" s="27"/>
      <c r="E2104" s="27"/>
      <c r="F2104" s="27"/>
    </row>
    <row r="2105" spans="2:6" x14ac:dyDescent="0.25">
      <c r="B2105" s="20"/>
      <c r="C2105" s="20"/>
      <c r="D2105" s="27"/>
      <c r="E2105" s="27"/>
      <c r="F2105" s="27"/>
    </row>
    <row r="2106" spans="2:6" x14ac:dyDescent="0.25">
      <c r="B2106" s="20"/>
      <c r="C2106" s="20"/>
      <c r="D2106" s="27"/>
      <c r="E2106" s="27"/>
      <c r="F2106" s="27"/>
    </row>
    <row r="2107" spans="2:6" x14ac:dyDescent="0.25">
      <c r="B2107" s="20"/>
      <c r="C2107" s="20"/>
      <c r="D2107" s="27"/>
      <c r="E2107" s="27"/>
      <c r="F2107" s="27"/>
    </row>
    <row r="2108" spans="2:6" x14ac:dyDescent="0.25">
      <c r="B2108" s="20"/>
      <c r="C2108" s="20"/>
      <c r="D2108" s="27"/>
      <c r="E2108" s="27"/>
      <c r="F2108" s="27"/>
    </row>
    <row r="2109" spans="2:6" x14ac:dyDescent="0.25">
      <c r="B2109" s="20"/>
      <c r="C2109" s="20"/>
      <c r="D2109" s="27"/>
      <c r="E2109" s="27"/>
      <c r="F2109" s="27"/>
    </row>
    <row r="2110" spans="2:6" x14ac:dyDescent="0.25">
      <c r="B2110" s="20"/>
      <c r="C2110" s="20"/>
      <c r="D2110" s="27"/>
      <c r="E2110" s="27"/>
      <c r="F2110" s="27"/>
    </row>
    <row r="2111" spans="2:6" x14ac:dyDescent="0.25">
      <c r="B2111" s="20"/>
      <c r="C2111" s="20"/>
      <c r="D2111" s="27"/>
      <c r="E2111" s="27"/>
      <c r="F2111" s="27"/>
    </row>
    <row r="2112" spans="2:6" x14ac:dyDescent="0.25">
      <c r="B2112" s="20"/>
      <c r="C2112" s="20"/>
      <c r="D2112" s="27"/>
      <c r="E2112" s="27"/>
      <c r="F2112" s="27"/>
    </row>
    <row r="2113" spans="2:6" x14ac:dyDescent="0.25">
      <c r="B2113" s="20"/>
      <c r="C2113" s="20"/>
      <c r="D2113" s="27"/>
      <c r="E2113" s="27"/>
      <c r="F2113" s="27"/>
    </row>
    <row r="2114" spans="2:6" x14ac:dyDescent="0.25">
      <c r="B2114" s="20"/>
      <c r="C2114" s="20"/>
      <c r="D2114" s="27"/>
      <c r="E2114" s="27"/>
      <c r="F2114" s="27"/>
    </row>
    <row r="2115" spans="2:6" x14ac:dyDescent="0.25">
      <c r="B2115" s="20"/>
      <c r="C2115" s="20"/>
      <c r="D2115" s="27"/>
      <c r="E2115" s="27"/>
      <c r="F2115" s="27"/>
    </row>
    <row r="2116" spans="2:6" x14ac:dyDescent="0.25">
      <c r="B2116" s="20"/>
      <c r="C2116" s="20"/>
      <c r="D2116" s="27"/>
      <c r="E2116" s="27"/>
      <c r="F2116" s="27"/>
    </row>
    <row r="2117" spans="2:6" x14ac:dyDescent="0.25">
      <c r="B2117" s="20"/>
      <c r="C2117" s="20"/>
      <c r="D2117" s="27"/>
      <c r="E2117" s="27"/>
      <c r="F2117" s="27"/>
    </row>
    <row r="2118" spans="2:6" x14ac:dyDescent="0.25">
      <c r="B2118" s="20"/>
      <c r="C2118" s="20"/>
      <c r="D2118" s="27"/>
      <c r="E2118" s="27"/>
      <c r="F2118" s="27"/>
    </row>
    <row r="2119" spans="2:6" x14ac:dyDescent="0.25">
      <c r="B2119" s="20"/>
      <c r="C2119" s="20"/>
      <c r="D2119" s="27"/>
      <c r="E2119" s="27"/>
      <c r="F2119" s="27"/>
    </row>
    <row r="2120" spans="2:6" x14ac:dyDescent="0.25">
      <c r="B2120" s="20"/>
      <c r="C2120" s="20"/>
      <c r="D2120" s="27"/>
      <c r="E2120" s="27"/>
      <c r="F2120" s="27"/>
    </row>
    <row r="2121" spans="2:6" x14ac:dyDescent="0.25">
      <c r="B2121" s="20"/>
      <c r="C2121" s="20"/>
      <c r="D2121" s="27"/>
      <c r="E2121" s="27"/>
      <c r="F2121" s="27"/>
    </row>
    <row r="2122" spans="2:6" x14ac:dyDescent="0.25">
      <c r="B2122" s="20"/>
      <c r="C2122" s="20"/>
      <c r="D2122" s="27"/>
      <c r="E2122" s="27"/>
      <c r="F2122" s="27"/>
    </row>
    <row r="2123" spans="2:6" x14ac:dyDescent="0.25">
      <c r="B2123" s="20"/>
      <c r="C2123" s="20"/>
      <c r="D2123" s="27"/>
      <c r="E2123" s="27"/>
      <c r="F2123" s="27"/>
    </row>
    <row r="2124" spans="2:6" x14ac:dyDescent="0.25">
      <c r="B2124" s="20"/>
      <c r="C2124" s="20"/>
      <c r="D2124" s="27"/>
      <c r="E2124" s="27"/>
      <c r="F2124" s="27"/>
    </row>
    <row r="2125" spans="2:6" x14ac:dyDescent="0.25">
      <c r="B2125" s="20"/>
      <c r="C2125" s="20"/>
      <c r="D2125" s="27"/>
      <c r="E2125" s="27"/>
      <c r="F2125" s="27"/>
    </row>
    <row r="2126" spans="2:6" x14ac:dyDescent="0.25">
      <c r="B2126" s="20"/>
      <c r="C2126" s="20"/>
      <c r="D2126" s="27"/>
      <c r="E2126" s="27"/>
      <c r="F2126" s="27"/>
    </row>
    <row r="2127" spans="2:6" x14ac:dyDescent="0.25">
      <c r="B2127" s="20"/>
      <c r="C2127" s="20"/>
      <c r="D2127" s="27"/>
      <c r="E2127" s="27"/>
      <c r="F2127" s="27"/>
    </row>
    <row r="2128" spans="2:6" x14ac:dyDescent="0.25">
      <c r="B2128" s="20"/>
      <c r="C2128" s="20"/>
      <c r="D2128" s="27"/>
      <c r="E2128" s="27"/>
      <c r="F2128" s="27"/>
    </row>
    <row r="2129" spans="2:6" x14ac:dyDescent="0.25">
      <c r="B2129" s="20"/>
      <c r="C2129" s="20"/>
      <c r="D2129" s="27"/>
      <c r="E2129" s="27"/>
      <c r="F2129" s="27"/>
    </row>
    <row r="2130" spans="2:6" x14ac:dyDescent="0.25">
      <c r="B2130" s="20"/>
      <c r="C2130" s="20"/>
      <c r="D2130" s="27"/>
      <c r="E2130" s="27"/>
      <c r="F2130" s="27"/>
    </row>
    <row r="2131" spans="2:6" x14ac:dyDescent="0.25">
      <c r="B2131" s="20"/>
      <c r="C2131" s="20"/>
      <c r="D2131" s="27"/>
      <c r="E2131" s="27"/>
      <c r="F2131" s="27"/>
    </row>
    <row r="2132" spans="2:6" x14ac:dyDescent="0.25">
      <c r="B2132" s="20"/>
      <c r="C2132" s="20"/>
      <c r="D2132" s="27"/>
      <c r="E2132" s="27"/>
      <c r="F2132" s="27"/>
    </row>
    <row r="2133" spans="2:6" x14ac:dyDescent="0.25">
      <c r="B2133" s="20"/>
      <c r="C2133" s="20"/>
      <c r="D2133" s="27"/>
      <c r="E2133" s="27"/>
      <c r="F2133" s="27"/>
    </row>
    <row r="2134" spans="2:6" x14ac:dyDescent="0.25">
      <c r="B2134" s="20"/>
      <c r="C2134" s="20"/>
      <c r="D2134" s="27"/>
      <c r="E2134" s="27"/>
      <c r="F2134" s="27"/>
    </row>
    <row r="2135" spans="2:6" x14ac:dyDescent="0.25">
      <c r="B2135" s="20"/>
      <c r="C2135" s="20"/>
      <c r="D2135" s="27"/>
      <c r="E2135" s="27"/>
      <c r="F2135" s="27"/>
    </row>
    <row r="2136" spans="2:6" x14ac:dyDescent="0.25">
      <c r="B2136" s="20"/>
      <c r="C2136" s="20"/>
      <c r="D2136" s="27"/>
      <c r="E2136" s="27"/>
      <c r="F2136" s="27"/>
    </row>
    <row r="2137" spans="2:6" x14ac:dyDescent="0.25">
      <c r="B2137" s="20"/>
      <c r="C2137" s="20"/>
      <c r="D2137" s="27"/>
      <c r="E2137" s="27"/>
      <c r="F2137" s="27"/>
    </row>
    <row r="2138" spans="2:6" x14ac:dyDescent="0.25">
      <c r="B2138" s="20"/>
      <c r="C2138" s="20"/>
      <c r="D2138" s="27"/>
      <c r="E2138" s="27"/>
      <c r="F2138" s="27"/>
    </row>
    <row r="2139" spans="2:6" x14ac:dyDescent="0.25">
      <c r="B2139" s="20"/>
      <c r="C2139" s="20"/>
      <c r="D2139" s="27"/>
      <c r="E2139" s="27"/>
      <c r="F2139" s="27"/>
    </row>
    <row r="2140" spans="2:6" x14ac:dyDescent="0.25">
      <c r="B2140" s="20"/>
      <c r="C2140" s="20"/>
      <c r="D2140" s="27"/>
      <c r="E2140" s="27"/>
      <c r="F2140" s="27"/>
    </row>
    <row r="2141" spans="2:6" x14ac:dyDescent="0.25">
      <c r="B2141" s="20"/>
      <c r="C2141" s="20"/>
      <c r="D2141" s="27"/>
      <c r="E2141" s="27"/>
      <c r="F2141" s="27"/>
    </row>
    <row r="2142" spans="2:6" x14ac:dyDescent="0.25">
      <c r="B2142" s="20"/>
      <c r="C2142" s="20"/>
      <c r="D2142" s="27"/>
      <c r="E2142" s="27"/>
      <c r="F2142" s="27"/>
    </row>
    <row r="2143" spans="2:6" x14ac:dyDescent="0.25">
      <c r="B2143" s="20"/>
      <c r="C2143" s="20"/>
      <c r="D2143" s="27"/>
      <c r="E2143" s="27"/>
      <c r="F2143" s="27"/>
    </row>
    <row r="2144" spans="2:6" x14ac:dyDescent="0.25">
      <c r="B2144" s="20"/>
      <c r="C2144" s="20"/>
      <c r="D2144" s="27"/>
      <c r="E2144" s="27"/>
      <c r="F2144" s="27"/>
    </row>
    <row r="2145" spans="2:6" x14ac:dyDescent="0.25">
      <c r="B2145" s="20"/>
      <c r="C2145" s="20"/>
      <c r="D2145" s="27"/>
      <c r="E2145" s="27"/>
      <c r="F2145" s="27"/>
    </row>
    <row r="2146" spans="2:6" x14ac:dyDescent="0.25">
      <c r="B2146" s="20"/>
      <c r="C2146" s="20"/>
      <c r="D2146" s="27"/>
      <c r="E2146" s="27"/>
      <c r="F2146" s="27"/>
    </row>
    <row r="2147" spans="2:6" x14ac:dyDescent="0.25">
      <c r="B2147" s="20"/>
      <c r="C2147" s="20"/>
      <c r="D2147" s="27"/>
      <c r="E2147" s="27"/>
      <c r="F2147" s="27"/>
    </row>
    <row r="2148" spans="2:6" x14ac:dyDescent="0.25">
      <c r="B2148" s="20"/>
      <c r="C2148" s="20"/>
      <c r="D2148" s="27"/>
      <c r="E2148" s="27"/>
      <c r="F2148" s="27"/>
    </row>
    <row r="2149" spans="2:6" x14ac:dyDescent="0.25">
      <c r="B2149" s="20"/>
      <c r="C2149" s="20"/>
      <c r="D2149" s="27"/>
      <c r="E2149" s="27"/>
      <c r="F2149" s="27"/>
    </row>
    <row r="2150" spans="2:6" x14ac:dyDescent="0.25">
      <c r="B2150" s="20"/>
      <c r="C2150" s="20"/>
      <c r="D2150" s="27"/>
      <c r="E2150" s="27"/>
      <c r="F2150" s="27"/>
    </row>
    <row r="2151" spans="2:6" x14ac:dyDescent="0.25">
      <c r="B2151" s="20"/>
      <c r="C2151" s="20"/>
      <c r="D2151" s="27"/>
      <c r="E2151" s="27"/>
      <c r="F2151" s="27"/>
    </row>
    <row r="2152" spans="2:6" x14ac:dyDescent="0.25">
      <c r="B2152" s="20"/>
      <c r="C2152" s="20"/>
      <c r="D2152" s="27"/>
      <c r="E2152" s="27"/>
      <c r="F2152" s="27"/>
    </row>
    <row r="2153" spans="2:6" x14ac:dyDescent="0.25">
      <c r="B2153" s="20"/>
      <c r="C2153" s="20"/>
      <c r="D2153" s="27"/>
      <c r="E2153" s="27"/>
      <c r="F2153" s="27"/>
    </row>
    <row r="2154" spans="2:6" x14ac:dyDescent="0.25">
      <c r="B2154" s="20"/>
      <c r="C2154" s="20"/>
      <c r="D2154" s="27"/>
      <c r="E2154" s="27"/>
      <c r="F2154" s="27"/>
    </row>
    <row r="2155" spans="2:6" x14ac:dyDescent="0.25">
      <c r="B2155" s="20"/>
      <c r="C2155" s="20"/>
      <c r="D2155" s="27"/>
      <c r="E2155" s="27"/>
      <c r="F2155" s="27"/>
    </row>
    <row r="2156" spans="2:6" x14ac:dyDescent="0.25">
      <c r="B2156" s="20"/>
      <c r="C2156" s="20"/>
      <c r="D2156" s="27"/>
      <c r="E2156" s="27"/>
      <c r="F2156" s="27"/>
    </row>
    <row r="2157" spans="2:6" x14ac:dyDescent="0.25">
      <c r="B2157" s="20"/>
      <c r="C2157" s="20"/>
      <c r="D2157" s="27"/>
      <c r="E2157" s="27"/>
      <c r="F2157" s="27"/>
    </row>
    <row r="2158" spans="2:6" x14ac:dyDescent="0.25">
      <c r="B2158" s="20"/>
      <c r="C2158" s="20"/>
      <c r="D2158" s="27"/>
      <c r="E2158" s="27"/>
      <c r="F2158" s="27"/>
    </row>
    <row r="2159" spans="2:6" x14ac:dyDescent="0.25">
      <c r="B2159" s="20"/>
      <c r="C2159" s="20"/>
      <c r="D2159" s="27"/>
      <c r="E2159" s="27"/>
      <c r="F2159" s="27"/>
    </row>
  </sheetData>
  <mergeCells count="2">
    <mergeCell ref="A5:G5"/>
    <mergeCell ref="E1:G1"/>
  </mergeCells>
  <phoneticPr fontId="29" type="noConversion"/>
  <pageMargins left="0.82677165354330717" right="0.15748031496062992" top="0.47244094488188981" bottom="0.47244094488188981" header="0.23622047244094491" footer="0.23622047244094491"/>
  <pageSetup paperSize="9" scale="50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7"/>
  <sheetViews>
    <sheetView tabSelected="1" view="pageBreakPreview" zoomScale="75" zoomScaleNormal="75" zoomScaleSheetLayoutView="75" workbookViewId="0">
      <selection activeCell="E2" sqref="E2:G2"/>
    </sheetView>
  </sheetViews>
  <sheetFormatPr defaultColWidth="9.28515625" defaultRowHeight="18.75" x14ac:dyDescent="0.2"/>
  <cols>
    <col min="1" max="1" width="88.140625" style="5" customWidth="1"/>
    <col min="2" max="2" width="9.7109375" style="5" customWidth="1"/>
    <col min="3" max="3" width="9.42578125" style="5" customWidth="1"/>
    <col min="4" max="4" width="18" style="5" customWidth="1"/>
    <col min="5" max="6" width="16.5703125" style="121" customWidth="1"/>
    <col min="7" max="7" width="15.5703125" style="5" customWidth="1"/>
    <col min="8" max="16384" width="9.28515625" style="5"/>
  </cols>
  <sheetData>
    <row r="1" spans="1:9" ht="26.25" customHeight="1" x14ac:dyDescent="0.3">
      <c r="B1" s="524"/>
      <c r="E1" s="625" t="s">
        <v>842</v>
      </c>
      <c r="F1" s="626"/>
      <c r="G1" s="626"/>
    </row>
    <row r="2" spans="1:9" ht="128.25" customHeight="1" x14ac:dyDescent="0.25">
      <c r="B2" s="10"/>
      <c r="C2" s="332"/>
      <c r="D2" s="332"/>
      <c r="E2" s="627" t="s">
        <v>843</v>
      </c>
      <c r="F2" s="628"/>
      <c r="G2" s="628"/>
    </row>
    <row r="3" spans="1:9" ht="10.5" customHeight="1" x14ac:dyDescent="0.2">
      <c r="B3" s="629"/>
      <c r="C3" s="630"/>
      <c r="D3" s="630"/>
      <c r="E3" s="630"/>
      <c r="F3" s="630"/>
      <c r="G3" s="630"/>
    </row>
    <row r="4" spans="1:9" ht="72.75" customHeight="1" x14ac:dyDescent="0.35">
      <c r="A4" s="633" t="s">
        <v>841</v>
      </c>
      <c r="B4" s="633"/>
      <c r="C4" s="633"/>
      <c r="D4" s="634"/>
      <c r="E4" s="634"/>
      <c r="F4" s="634"/>
      <c r="G4" s="634"/>
      <c r="H4"/>
      <c r="I4"/>
    </row>
    <row r="5" spans="1:9" ht="27" customHeight="1" thickBot="1" x14ac:dyDescent="0.25">
      <c r="A5" s="6"/>
      <c r="B5" s="7"/>
      <c r="C5" s="7"/>
      <c r="E5" s="5"/>
      <c r="F5" s="5"/>
      <c r="G5" s="9" t="s">
        <v>150</v>
      </c>
      <c r="H5" s="36"/>
      <c r="I5" s="36"/>
    </row>
    <row r="6" spans="1:9" ht="35.1" customHeight="1" x14ac:dyDescent="0.2">
      <c r="A6" s="635" t="s">
        <v>73</v>
      </c>
      <c r="B6" s="637" t="s">
        <v>0</v>
      </c>
      <c r="C6" s="639" t="s">
        <v>20</v>
      </c>
      <c r="D6" s="641" t="s">
        <v>836</v>
      </c>
      <c r="E6" s="631" t="s">
        <v>833</v>
      </c>
      <c r="F6" s="631" t="s">
        <v>834</v>
      </c>
      <c r="G6" s="631" t="s">
        <v>831</v>
      </c>
    </row>
    <row r="7" spans="1:9" ht="13.9" customHeight="1" thickBot="1" x14ac:dyDescent="0.25">
      <c r="A7" s="636"/>
      <c r="B7" s="638"/>
      <c r="C7" s="640"/>
      <c r="D7" s="642"/>
      <c r="E7" s="643"/>
      <c r="F7" s="643"/>
      <c r="G7" s="632"/>
    </row>
    <row r="8" spans="1:9" ht="20.25" customHeight="1" thickBot="1" x14ac:dyDescent="0.25">
      <c r="A8" s="183">
        <v>1</v>
      </c>
      <c r="B8" s="184">
        <v>2</v>
      </c>
      <c r="C8" s="185">
        <v>3</v>
      </c>
      <c r="D8" s="610">
        <v>4</v>
      </c>
      <c r="E8" s="186">
        <v>5</v>
      </c>
      <c r="F8" s="186">
        <v>6</v>
      </c>
      <c r="G8" s="182">
        <v>7</v>
      </c>
    </row>
    <row r="9" spans="1:9" ht="33" customHeight="1" x14ac:dyDescent="0.2">
      <c r="A9" s="250" t="s">
        <v>25</v>
      </c>
      <c r="B9" s="266" t="s">
        <v>29</v>
      </c>
      <c r="C9" s="267"/>
      <c r="D9" s="260">
        <f>D10+D11+D12+D13+D14+D15</f>
        <v>458878.70000000007</v>
      </c>
      <c r="E9" s="260">
        <f t="shared" ref="E9:F9" si="0">E10+E11+E12+E13+E14+E15</f>
        <v>559750.70000000007</v>
      </c>
      <c r="F9" s="260">
        <f t="shared" si="0"/>
        <v>424621.2</v>
      </c>
      <c r="G9" s="563">
        <f>F9/E9</f>
        <v>0.75858985080322361</v>
      </c>
    </row>
    <row r="10" spans="1:9" ht="45" customHeight="1" x14ac:dyDescent="0.2">
      <c r="A10" s="251" t="s">
        <v>53</v>
      </c>
      <c r="B10" s="169" t="s">
        <v>29</v>
      </c>
      <c r="C10" s="170" t="s">
        <v>30</v>
      </c>
      <c r="D10" s="261">
        <f>'Функц. 2024-2026'!F12</f>
        <v>3713.4</v>
      </c>
      <c r="E10" s="180">
        <f>'Функц. 2024-2026'!H12</f>
        <v>3713.4</v>
      </c>
      <c r="F10" s="180">
        <f>'Функц. 2024-2026'!J12</f>
        <v>3542.1</v>
      </c>
      <c r="G10" s="564">
        <f t="shared" ref="G10:G57" si="1">F10/E10</f>
        <v>0.95386976894490216</v>
      </c>
    </row>
    <row r="11" spans="1:9" ht="63.75" customHeight="1" x14ac:dyDescent="0.2">
      <c r="A11" s="251" t="s">
        <v>54</v>
      </c>
      <c r="B11" s="169" t="s">
        <v>29</v>
      </c>
      <c r="C11" s="170" t="s">
        <v>7</v>
      </c>
      <c r="D11" s="261">
        <f>'Функц. 2024-2026'!F19</f>
        <v>18494.8</v>
      </c>
      <c r="E11" s="180">
        <f>'Функц. 2024-2026'!H19</f>
        <v>18494.8</v>
      </c>
      <c r="F11" s="180">
        <f>'Функц. 2024-2026'!J19</f>
        <v>18417.2</v>
      </c>
      <c r="G11" s="564">
        <f t="shared" si="1"/>
        <v>0.99580422605272845</v>
      </c>
    </row>
    <row r="12" spans="1:9" ht="62.25" customHeight="1" x14ac:dyDescent="0.2">
      <c r="A12" s="251" t="s">
        <v>55</v>
      </c>
      <c r="B12" s="169" t="s">
        <v>29</v>
      </c>
      <c r="C12" s="170" t="s">
        <v>48</v>
      </c>
      <c r="D12" s="261">
        <f>'Функц. 2024-2026'!F43</f>
        <v>112862.6</v>
      </c>
      <c r="E12" s="192">
        <f>'Функц. 2024-2026'!H43</f>
        <v>112862.6</v>
      </c>
      <c r="F12" s="192">
        <f>'Функц. 2024-2026'!J43</f>
        <v>110642.90000000001</v>
      </c>
      <c r="G12" s="564">
        <f t="shared" si="1"/>
        <v>0.98033272315186792</v>
      </c>
    </row>
    <row r="13" spans="1:9" ht="46.5" customHeight="1" x14ac:dyDescent="0.2">
      <c r="A13" s="251" t="s">
        <v>74</v>
      </c>
      <c r="B13" s="169" t="s">
        <v>29</v>
      </c>
      <c r="C13" s="170" t="s">
        <v>96</v>
      </c>
      <c r="D13" s="261">
        <f>'Функц. 2024-2026'!F81</f>
        <v>44531.8</v>
      </c>
      <c r="E13" s="192">
        <f>'Функц. 2024-2026'!H81</f>
        <v>44531.8</v>
      </c>
      <c r="F13" s="192">
        <f>'Функц. 2024-2026'!J81</f>
        <v>44412.999999999993</v>
      </c>
      <c r="G13" s="564">
        <f t="shared" si="1"/>
        <v>0.9973322434754488</v>
      </c>
    </row>
    <row r="14" spans="1:9" ht="25.5" customHeight="1" x14ac:dyDescent="0.2">
      <c r="A14" s="251" t="s">
        <v>75</v>
      </c>
      <c r="B14" s="169" t="s">
        <v>29</v>
      </c>
      <c r="C14" s="170">
        <v>11</v>
      </c>
      <c r="D14" s="261">
        <f>'Функц. 2024-2026'!F117</f>
        <v>1000</v>
      </c>
      <c r="E14" s="192">
        <f>'Функц. 2024-2026'!H117</f>
        <v>1000</v>
      </c>
      <c r="F14" s="192">
        <f>'Функц. 2024-2026'!J117</f>
        <v>0</v>
      </c>
      <c r="G14" s="564">
        <f t="shared" si="1"/>
        <v>0</v>
      </c>
    </row>
    <row r="15" spans="1:9" ht="28.5" customHeight="1" x14ac:dyDescent="0.2">
      <c r="A15" s="251" t="s">
        <v>153</v>
      </c>
      <c r="B15" s="169" t="s">
        <v>29</v>
      </c>
      <c r="C15" s="170">
        <v>13</v>
      </c>
      <c r="D15" s="261">
        <f>'Функц. 2024-2026'!F122</f>
        <v>278276.10000000003</v>
      </c>
      <c r="E15" s="192">
        <f>'Функц. 2024-2026'!H122</f>
        <v>379148.10000000003</v>
      </c>
      <c r="F15" s="192">
        <f>'Функц. 2024-2026'!J122</f>
        <v>247606</v>
      </c>
      <c r="G15" s="564">
        <f t="shared" si="1"/>
        <v>0.6530587915381878</v>
      </c>
    </row>
    <row r="16" spans="1:9" ht="32.450000000000003" customHeight="1" x14ac:dyDescent="0.2">
      <c r="A16" s="252" t="s">
        <v>11</v>
      </c>
      <c r="B16" s="171" t="s">
        <v>30</v>
      </c>
      <c r="C16" s="168"/>
      <c r="D16" s="262">
        <f>D17+D18</f>
        <v>4784.3</v>
      </c>
      <c r="E16" s="179">
        <f>E17+E18</f>
        <v>4784.3</v>
      </c>
      <c r="F16" s="179">
        <f>F17+F18</f>
        <v>4784.3</v>
      </c>
      <c r="G16" s="563">
        <f t="shared" si="1"/>
        <v>1</v>
      </c>
    </row>
    <row r="17" spans="1:7" ht="23.25" customHeight="1" x14ac:dyDescent="0.2">
      <c r="A17" s="253" t="s">
        <v>76</v>
      </c>
      <c r="B17" s="169" t="s">
        <v>30</v>
      </c>
      <c r="C17" s="170" t="s">
        <v>7</v>
      </c>
      <c r="D17" s="261">
        <f>'Функц. 2024-2026'!F216</f>
        <v>4299.3</v>
      </c>
      <c r="E17" s="192">
        <f>'Функц. 2024-2026'!H216</f>
        <v>4299.3</v>
      </c>
      <c r="F17" s="192">
        <f>'Функц. 2024-2026'!J216</f>
        <v>4299.3</v>
      </c>
      <c r="G17" s="564">
        <f t="shared" si="1"/>
        <v>1</v>
      </c>
    </row>
    <row r="18" spans="1:7" ht="26.25" customHeight="1" x14ac:dyDescent="0.2">
      <c r="A18" s="251" t="s">
        <v>77</v>
      </c>
      <c r="B18" s="169" t="s">
        <v>30</v>
      </c>
      <c r="C18" s="170" t="s">
        <v>48</v>
      </c>
      <c r="D18" s="261">
        <f>'Функц. 2024-2026'!F223</f>
        <v>485</v>
      </c>
      <c r="E18" s="192">
        <f>'Функц. 2024-2026'!H223</f>
        <v>485</v>
      </c>
      <c r="F18" s="192">
        <f>'Функц. 2024-2026'!J223</f>
        <v>485</v>
      </c>
      <c r="G18" s="564">
        <f t="shared" si="1"/>
        <v>1</v>
      </c>
    </row>
    <row r="19" spans="1:7" ht="42" customHeight="1" x14ac:dyDescent="0.2">
      <c r="A19" s="252" t="s">
        <v>45</v>
      </c>
      <c r="B19" s="171" t="s">
        <v>7</v>
      </c>
      <c r="C19" s="168"/>
      <c r="D19" s="262">
        <f>D20+D22+D21</f>
        <v>45977.1</v>
      </c>
      <c r="E19" s="179">
        <f>E20+E22+E21</f>
        <v>45976.899999999994</v>
      </c>
      <c r="F19" s="179">
        <f>F20+F22+F21</f>
        <v>43949.4</v>
      </c>
      <c r="G19" s="563">
        <f t="shared" si="1"/>
        <v>0.95590176806178773</v>
      </c>
    </row>
    <row r="20" spans="1:7" ht="42.75" customHeight="1" x14ac:dyDescent="0.2">
      <c r="A20" s="251" t="s">
        <v>387</v>
      </c>
      <c r="B20" s="169" t="s">
        <v>7</v>
      </c>
      <c r="C20" s="170" t="s">
        <v>22</v>
      </c>
      <c r="D20" s="261">
        <f>'Функц. 2024-2026'!F231</f>
        <v>1437.5</v>
      </c>
      <c r="E20" s="192">
        <f>'Функц. 2024-2026'!H231</f>
        <v>1437.4</v>
      </c>
      <c r="F20" s="192">
        <f>'Функц. 2024-2026'!J231</f>
        <v>1424</v>
      </c>
      <c r="G20" s="564">
        <f t="shared" si="1"/>
        <v>0.99067761235564211</v>
      </c>
    </row>
    <row r="21" spans="1:7" ht="42.75" customHeight="1" x14ac:dyDescent="0.2">
      <c r="A21" s="254" t="s">
        <v>386</v>
      </c>
      <c r="B21" s="169" t="s">
        <v>7</v>
      </c>
      <c r="C21" s="170" t="s">
        <v>36</v>
      </c>
      <c r="D21" s="261">
        <f>'Функц. 2024-2026'!F242</f>
        <v>28737.599999999999</v>
      </c>
      <c r="E21" s="192">
        <f>'Функц. 2024-2026'!H242</f>
        <v>28737.499999999996</v>
      </c>
      <c r="F21" s="192">
        <f>'Функц. 2024-2026'!J242</f>
        <v>28580</v>
      </c>
      <c r="G21" s="564">
        <f t="shared" si="1"/>
        <v>0.9945193562418444</v>
      </c>
    </row>
    <row r="22" spans="1:7" ht="42.75" customHeight="1" x14ac:dyDescent="0.2">
      <c r="A22" s="251" t="s">
        <v>78</v>
      </c>
      <c r="B22" s="169" t="s">
        <v>7</v>
      </c>
      <c r="C22" s="170">
        <v>14</v>
      </c>
      <c r="D22" s="261">
        <f>'Функц. 2024-2026'!F272</f>
        <v>15802</v>
      </c>
      <c r="E22" s="192">
        <f>'Функц. 2024-2026'!H272</f>
        <v>15802</v>
      </c>
      <c r="F22" s="192">
        <f>'Функц. 2024-2026'!J272</f>
        <v>13945.4</v>
      </c>
      <c r="G22" s="564">
        <f t="shared" si="1"/>
        <v>0.88250854322237693</v>
      </c>
    </row>
    <row r="23" spans="1:7" ht="26.25" customHeight="1" x14ac:dyDescent="0.2">
      <c r="A23" s="252" t="s">
        <v>44</v>
      </c>
      <c r="B23" s="171" t="s">
        <v>48</v>
      </c>
      <c r="C23" s="168"/>
      <c r="D23" s="262">
        <f>D25+D28+D26+D27+D24</f>
        <v>186640.30000000002</v>
      </c>
      <c r="E23" s="179">
        <f>E25+E28+E26+E27+E24</f>
        <v>186640.30000000002</v>
      </c>
      <c r="F23" s="179">
        <f>F25+F28+F26+F27+F24</f>
        <v>180720.1</v>
      </c>
      <c r="G23" s="563">
        <f t="shared" si="1"/>
        <v>0.96828016243008608</v>
      </c>
    </row>
    <row r="24" spans="1:7" ht="26.25" customHeight="1" x14ac:dyDescent="0.3">
      <c r="A24" s="255" t="s">
        <v>149</v>
      </c>
      <c r="B24" s="172" t="s">
        <v>48</v>
      </c>
      <c r="C24" s="173" t="s">
        <v>5</v>
      </c>
      <c r="D24" s="261">
        <f>'Функц. 2024-2026'!F280</f>
        <v>954</v>
      </c>
      <c r="E24" s="192">
        <f>'Функц. 2024-2026'!H280</f>
        <v>954</v>
      </c>
      <c r="F24" s="192">
        <f>'Функц. 2024-2026'!J280</f>
        <v>669.2</v>
      </c>
      <c r="G24" s="564">
        <f t="shared" si="1"/>
        <v>0.70146750524109014</v>
      </c>
    </row>
    <row r="25" spans="1:7" ht="24.75" customHeight="1" x14ac:dyDescent="0.2">
      <c r="A25" s="251" t="s">
        <v>79</v>
      </c>
      <c r="B25" s="169" t="s">
        <v>48</v>
      </c>
      <c r="C25" s="170" t="s">
        <v>16</v>
      </c>
      <c r="D25" s="261">
        <f>'Функц. 2024-2026'!F289</f>
        <v>39294.9</v>
      </c>
      <c r="E25" s="192">
        <f>'Функц. 2024-2026'!H289</f>
        <v>39294.9</v>
      </c>
      <c r="F25" s="192">
        <f>'Функц. 2024-2026'!J289</f>
        <v>39294.400000000001</v>
      </c>
      <c r="G25" s="564">
        <f t="shared" si="1"/>
        <v>0.99998727570244483</v>
      </c>
    </row>
    <row r="26" spans="1:7" ht="24.75" customHeight="1" x14ac:dyDescent="0.2">
      <c r="A26" s="253" t="s">
        <v>80</v>
      </c>
      <c r="B26" s="169" t="s">
        <v>48</v>
      </c>
      <c r="C26" s="170" t="s">
        <v>22</v>
      </c>
      <c r="D26" s="261">
        <f>'Функц. 2024-2026'!F307</f>
        <v>139734.39999999999</v>
      </c>
      <c r="E26" s="192">
        <f>'Функц. 2024-2026'!H307</f>
        <v>139734.39999999999</v>
      </c>
      <c r="F26" s="192">
        <f>'Функц. 2024-2026'!J307</f>
        <v>134940.09999999998</v>
      </c>
      <c r="G26" s="564">
        <f t="shared" si="1"/>
        <v>0.96568990885565742</v>
      </c>
    </row>
    <row r="27" spans="1:7" ht="24.75" customHeight="1" x14ac:dyDescent="0.2">
      <c r="A27" s="253" t="s">
        <v>99</v>
      </c>
      <c r="B27" s="169" t="s">
        <v>48</v>
      </c>
      <c r="C27" s="170">
        <v>10</v>
      </c>
      <c r="D27" s="261">
        <f>'Функц. 2024-2026'!F335</f>
        <v>5234.0999999999995</v>
      </c>
      <c r="E27" s="192">
        <f>'Функц. 2024-2026'!H335</f>
        <v>5234.0999999999995</v>
      </c>
      <c r="F27" s="192">
        <f>'Функц. 2024-2026'!J335</f>
        <v>5005.0999999999995</v>
      </c>
      <c r="G27" s="564">
        <f t="shared" si="1"/>
        <v>0.95624844767963924</v>
      </c>
    </row>
    <row r="28" spans="1:7" ht="26.25" customHeight="1" x14ac:dyDescent="0.2">
      <c r="A28" s="251" t="s">
        <v>81</v>
      </c>
      <c r="B28" s="169" t="s">
        <v>48</v>
      </c>
      <c r="C28" s="170">
        <v>12</v>
      </c>
      <c r="D28" s="261">
        <f>'Функц. 2024-2026'!F350</f>
        <v>1422.9</v>
      </c>
      <c r="E28" s="192">
        <f>'Функц. 2024-2026'!H350</f>
        <v>1422.9</v>
      </c>
      <c r="F28" s="192">
        <f>'Функц. 2024-2026'!J350</f>
        <v>811.3</v>
      </c>
      <c r="G28" s="564">
        <f t="shared" si="1"/>
        <v>0.57017358914892113</v>
      </c>
    </row>
    <row r="29" spans="1:7" ht="26.25" customHeight="1" x14ac:dyDescent="0.2">
      <c r="A29" s="252" t="s">
        <v>3</v>
      </c>
      <c r="B29" s="171" t="s">
        <v>5</v>
      </c>
      <c r="C29" s="168"/>
      <c r="D29" s="262">
        <f>D30+D32+D33+D31</f>
        <v>1737066.1</v>
      </c>
      <c r="E29" s="179">
        <f>E30+E32+E33+E31</f>
        <v>1732274.7</v>
      </c>
      <c r="F29" s="179">
        <f>F30+F32+F33+F31</f>
        <v>1678928.2999999998</v>
      </c>
      <c r="G29" s="563">
        <f t="shared" si="1"/>
        <v>0.96920442237019333</v>
      </c>
    </row>
    <row r="30" spans="1:7" ht="24.75" customHeight="1" x14ac:dyDescent="0.2">
      <c r="A30" s="251" t="s">
        <v>82</v>
      </c>
      <c r="B30" s="169" t="s">
        <v>5</v>
      </c>
      <c r="C30" s="170" t="s">
        <v>29</v>
      </c>
      <c r="D30" s="261">
        <f>'Функц. 2024-2026'!F367</f>
        <v>22471.7</v>
      </c>
      <c r="E30" s="192">
        <f>'Функц. 2024-2026'!H367</f>
        <v>22471.7</v>
      </c>
      <c r="F30" s="192">
        <f>'Функц. 2024-2026'!J367</f>
        <v>21221.8</v>
      </c>
      <c r="G30" s="564">
        <f t="shared" si="1"/>
        <v>0.94437892994299488</v>
      </c>
    </row>
    <row r="31" spans="1:7" ht="24.75" customHeight="1" x14ac:dyDescent="0.2">
      <c r="A31" s="254" t="s">
        <v>336</v>
      </c>
      <c r="B31" s="174" t="s">
        <v>5</v>
      </c>
      <c r="C31" s="320" t="s">
        <v>30</v>
      </c>
      <c r="D31" s="261">
        <f>'Функц. 2024-2026'!F392</f>
        <v>615286.10000000009</v>
      </c>
      <c r="E31" s="192">
        <f>'Функц. 2024-2026'!H392</f>
        <v>610495</v>
      </c>
      <c r="F31" s="192">
        <f>'Функц. 2024-2026'!J392</f>
        <v>578460.79999999993</v>
      </c>
      <c r="G31" s="564">
        <f t="shared" si="1"/>
        <v>0.94752749817770809</v>
      </c>
    </row>
    <row r="32" spans="1:7" ht="27.75" customHeight="1" x14ac:dyDescent="0.2">
      <c r="A32" s="251" t="s">
        <v>83</v>
      </c>
      <c r="B32" s="169" t="s">
        <v>5</v>
      </c>
      <c r="C32" s="170" t="s">
        <v>7</v>
      </c>
      <c r="D32" s="261">
        <f>'Функц. 2024-2026'!F436</f>
        <v>1070025</v>
      </c>
      <c r="E32" s="192">
        <f>'Функц. 2024-2026'!H436</f>
        <v>1070024.8999999999</v>
      </c>
      <c r="F32" s="192">
        <f>'Функц. 2024-2026'!J436</f>
        <v>1050692.3</v>
      </c>
      <c r="G32" s="564">
        <f t="shared" si="1"/>
        <v>0.98193256998038092</v>
      </c>
    </row>
    <row r="33" spans="1:7" ht="24.75" customHeight="1" x14ac:dyDescent="0.2">
      <c r="A33" s="251" t="s">
        <v>84</v>
      </c>
      <c r="B33" s="169" t="s">
        <v>5</v>
      </c>
      <c r="C33" s="170" t="s">
        <v>5</v>
      </c>
      <c r="D33" s="261">
        <f>'Функц. 2024-2026'!F510</f>
        <v>29283.300000000003</v>
      </c>
      <c r="E33" s="192">
        <f>'Функц. 2024-2026'!H510</f>
        <v>29283.100000000006</v>
      </c>
      <c r="F33" s="192">
        <f>'Функц. 2024-2026'!J510</f>
        <v>28553.399999999998</v>
      </c>
      <c r="G33" s="564">
        <f t="shared" si="1"/>
        <v>0.97508119017453732</v>
      </c>
    </row>
    <row r="34" spans="1:7" ht="24.75" customHeight="1" x14ac:dyDescent="0.3">
      <c r="A34" s="256" t="s">
        <v>39</v>
      </c>
      <c r="B34" s="175" t="s">
        <v>96</v>
      </c>
      <c r="C34" s="321"/>
      <c r="D34" s="262">
        <f>D35</f>
        <v>1356927</v>
      </c>
      <c r="E34" s="262">
        <f t="shared" ref="E34:F34" si="2">E35</f>
        <v>1356927</v>
      </c>
      <c r="F34" s="262">
        <f t="shared" si="2"/>
        <v>1356927</v>
      </c>
      <c r="G34" s="563">
        <f t="shared" si="1"/>
        <v>1</v>
      </c>
    </row>
    <row r="35" spans="1:7" ht="24.75" customHeight="1" x14ac:dyDescent="0.2">
      <c r="A35" s="303" t="s">
        <v>640</v>
      </c>
      <c r="B35" s="172" t="s">
        <v>96</v>
      </c>
      <c r="C35" s="320" t="s">
        <v>30</v>
      </c>
      <c r="D35" s="611">
        <f>'Функц. 2024-2026'!F540</f>
        <v>1356927</v>
      </c>
      <c r="E35" s="304">
        <f>'Функц. 2024-2026'!H540</f>
        <v>1356927</v>
      </c>
      <c r="F35" s="304">
        <f>'Функц. 2024-2026'!J540</f>
        <v>1356927</v>
      </c>
      <c r="G35" s="564">
        <f t="shared" si="1"/>
        <v>1</v>
      </c>
    </row>
    <row r="36" spans="1:7" ht="26.25" customHeight="1" x14ac:dyDescent="0.2">
      <c r="A36" s="257" t="s">
        <v>4</v>
      </c>
      <c r="B36" s="171" t="s">
        <v>8</v>
      </c>
      <c r="C36" s="176"/>
      <c r="D36" s="263">
        <f>D37+D38+D40+D41+D39</f>
        <v>1352195.5999999999</v>
      </c>
      <c r="E36" s="196">
        <f>E37+E38+E40+E41+E39</f>
        <v>1352195.5999999999</v>
      </c>
      <c r="F36" s="196">
        <f>F37+F38+F40+F41+F39</f>
        <v>1342902.4999999995</v>
      </c>
      <c r="G36" s="563">
        <f t="shared" si="1"/>
        <v>0.99312739961585417</v>
      </c>
    </row>
    <row r="37" spans="1:7" ht="30" customHeight="1" x14ac:dyDescent="0.2">
      <c r="A37" s="251" t="s">
        <v>85</v>
      </c>
      <c r="B37" s="177" t="s">
        <v>8</v>
      </c>
      <c r="C37" s="170" t="s">
        <v>29</v>
      </c>
      <c r="D37" s="261">
        <f>'Функц. 2024-2026'!F549</f>
        <v>441202.39999999997</v>
      </c>
      <c r="E37" s="180">
        <f>'Функц. 2024-2026'!H549</f>
        <v>441202.39999999997</v>
      </c>
      <c r="F37" s="180">
        <f>'Функц. 2024-2026'!J549</f>
        <v>440137</v>
      </c>
      <c r="G37" s="564">
        <f t="shared" si="1"/>
        <v>0.99758523525710652</v>
      </c>
    </row>
    <row r="38" spans="1:7" ht="24.75" customHeight="1" x14ac:dyDescent="0.2">
      <c r="A38" s="251" t="s">
        <v>86</v>
      </c>
      <c r="B38" s="177" t="s">
        <v>8</v>
      </c>
      <c r="C38" s="170" t="s">
        <v>30</v>
      </c>
      <c r="D38" s="264">
        <f>'Функц. 2024-2026'!F570</f>
        <v>717397.6</v>
      </c>
      <c r="E38" s="181">
        <f>'Функц. 2024-2026'!H570</f>
        <v>717397.6</v>
      </c>
      <c r="F38" s="181">
        <f>'Функц. 2024-2026'!J570</f>
        <v>710118.79999999993</v>
      </c>
      <c r="G38" s="564">
        <f t="shared" si="1"/>
        <v>0.98985388297925714</v>
      </c>
    </row>
    <row r="39" spans="1:7" ht="27.75" customHeight="1" x14ac:dyDescent="0.2">
      <c r="A39" s="251" t="s">
        <v>148</v>
      </c>
      <c r="B39" s="177" t="s">
        <v>8</v>
      </c>
      <c r="C39" s="170" t="s">
        <v>7</v>
      </c>
      <c r="D39" s="261">
        <f>'Функц. 2024-2026'!F634</f>
        <v>157622.9</v>
      </c>
      <c r="E39" s="192">
        <f>'Функц. 2024-2026'!H634</f>
        <v>157622.9</v>
      </c>
      <c r="F39" s="192">
        <f>'Функц. 2024-2026'!J634</f>
        <v>157181.59999999998</v>
      </c>
      <c r="G39" s="564">
        <f t="shared" si="1"/>
        <v>0.99720027990856652</v>
      </c>
    </row>
    <row r="40" spans="1:7" ht="25.5" customHeight="1" x14ac:dyDescent="0.2">
      <c r="A40" s="251" t="s">
        <v>134</v>
      </c>
      <c r="B40" s="169" t="s">
        <v>8</v>
      </c>
      <c r="C40" s="170" t="s">
        <v>8</v>
      </c>
      <c r="D40" s="261">
        <f>'Функц. 2024-2026'!F680</f>
        <v>2034.9</v>
      </c>
      <c r="E40" s="192">
        <f>'Функц. 2024-2026'!H680</f>
        <v>2034.9</v>
      </c>
      <c r="F40" s="192">
        <f>'Функц. 2024-2026'!J680</f>
        <v>2034.3999999999999</v>
      </c>
      <c r="G40" s="564">
        <f t="shared" si="1"/>
        <v>0.9997542876799842</v>
      </c>
    </row>
    <row r="41" spans="1:7" ht="28.5" customHeight="1" x14ac:dyDescent="0.2">
      <c r="A41" s="251" t="s">
        <v>87</v>
      </c>
      <c r="B41" s="169" t="s">
        <v>8</v>
      </c>
      <c r="C41" s="170" t="s">
        <v>22</v>
      </c>
      <c r="D41" s="261">
        <f>'Функц. 2024-2026'!F699</f>
        <v>33937.799999999996</v>
      </c>
      <c r="E41" s="192">
        <f>'Функц. 2024-2026'!H699</f>
        <v>33937.799999999996</v>
      </c>
      <c r="F41" s="192">
        <f>'Функц. 2024-2026'!J699</f>
        <v>33430.699999999997</v>
      </c>
      <c r="G41" s="564">
        <f t="shared" si="1"/>
        <v>0.98505795897200177</v>
      </c>
    </row>
    <row r="42" spans="1:7" ht="37.35" customHeight="1" x14ac:dyDescent="0.2">
      <c r="A42" s="252" t="s">
        <v>21</v>
      </c>
      <c r="B42" s="171" t="s">
        <v>16</v>
      </c>
      <c r="C42" s="176"/>
      <c r="D42" s="262">
        <f>D43</f>
        <v>189575.8</v>
      </c>
      <c r="E42" s="179">
        <f>E43</f>
        <v>189575.8</v>
      </c>
      <c r="F42" s="179">
        <f>F43</f>
        <v>188972.7</v>
      </c>
      <c r="G42" s="563">
        <f t="shared" si="1"/>
        <v>0.99681868677331187</v>
      </c>
    </row>
    <row r="43" spans="1:7" ht="27.75" customHeight="1" x14ac:dyDescent="0.2">
      <c r="A43" s="251" t="s">
        <v>88</v>
      </c>
      <c r="B43" s="169" t="s">
        <v>16</v>
      </c>
      <c r="C43" s="170" t="s">
        <v>29</v>
      </c>
      <c r="D43" s="261">
        <f>'Функц. 2024-2026'!F731</f>
        <v>189575.8</v>
      </c>
      <c r="E43" s="192">
        <f>'Функц. 2024-2026'!H731</f>
        <v>189575.8</v>
      </c>
      <c r="F43" s="192">
        <f>'Функц. 2024-2026'!J731</f>
        <v>188972.7</v>
      </c>
      <c r="G43" s="564">
        <f t="shared" si="1"/>
        <v>0.99681868677331187</v>
      </c>
    </row>
    <row r="44" spans="1:7" ht="27.75" customHeight="1" x14ac:dyDescent="0.3">
      <c r="A44" s="324" t="s">
        <v>740</v>
      </c>
      <c r="B44" s="612" t="s">
        <v>22</v>
      </c>
      <c r="C44" s="321"/>
      <c r="D44" s="262">
        <f>D45</f>
        <v>60</v>
      </c>
      <c r="E44" s="262">
        <f>E45</f>
        <v>60</v>
      </c>
      <c r="F44" s="262">
        <f>F45</f>
        <v>60</v>
      </c>
      <c r="G44" s="563">
        <f t="shared" si="1"/>
        <v>1</v>
      </c>
    </row>
    <row r="45" spans="1:7" ht="27.75" customHeight="1" x14ac:dyDescent="0.2">
      <c r="A45" s="303" t="s">
        <v>741</v>
      </c>
      <c r="B45" s="174" t="s">
        <v>22</v>
      </c>
      <c r="C45" s="320" t="s">
        <v>22</v>
      </c>
      <c r="D45" s="261">
        <f>'Функц. 2024-2026'!F803</f>
        <v>60</v>
      </c>
      <c r="E45" s="192">
        <f>'Функц. 2024-2026'!H803</f>
        <v>60</v>
      </c>
      <c r="F45" s="192">
        <f>'Функц. 2024-2026'!J803</f>
        <v>60</v>
      </c>
      <c r="G45" s="564">
        <f t="shared" si="1"/>
        <v>1</v>
      </c>
    </row>
    <row r="46" spans="1:7" ht="28.5" customHeight="1" x14ac:dyDescent="0.2">
      <c r="A46" s="252" t="s">
        <v>95</v>
      </c>
      <c r="B46" s="171" t="s">
        <v>36</v>
      </c>
      <c r="C46" s="176"/>
      <c r="D46" s="262">
        <f>D47+D50+D49+D48</f>
        <v>95474.3</v>
      </c>
      <c r="E46" s="179">
        <f>E47+E50+E49+E48</f>
        <v>95474.5</v>
      </c>
      <c r="F46" s="179">
        <f>F47+F50+F49+F48</f>
        <v>93061.2</v>
      </c>
      <c r="G46" s="563">
        <f t="shared" si="1"/>
        <v>0.97472309360090914</v>
      </c>
    </row>
    <row r="47" spans="1:7" ht="26.25" customHeight="1" x14ac:dyDescent="0.2">
      <c r="A47" s="251" t="s">
        <v>89</v>
      </c>
      <c r="B47" s="169">
        <v>10</v>
      </c>
      <c r="C47" s="170" t="s">
        <v>29</v>
      </c>
      <c r="D47" s="261">
        <f>'Функц. 2024-2026'!F812</f>
        <v>7998</v>
      </c>
      <c r="E47" s="192">
        <f>'Функц. 2024-2026'!H812</f>
        <v>7998.1999999999989</v>
      </c>
      <c r="F47" s="192">
        <f>'Функц. 2024-2026'!J812</f>
        <v>7997.7000000000007</v>
      </c>
      <c r="G47" s="564">
        <f t="shared" si="1"/>
        <v>0.9999374859343354</v>
      </c>
    </row>
    <row r="48" spans="1:7" ht="27.75" customHeight="1" x14ac:dyDescent="0.3">
      <c r="A48" s="224" t="s">
        <v>489</v>
      </c>
      <c r="B48" s="174">
        <v>10</v>
      </c>
      <c r="C48" s="320" t="s">
        <v>7</v>
      </c>
      <c r="D48" s="261">
        <f>'Функц. 2024-2026'!F819</f>
        <v>1168</v>
      </c>
      <c r="E48" s="192">
        <f>'Функц. 2024-2026'!H819</f>
        <v>1168</v>
      </c>
      <c r="F48" s="192">
        <f>'Функц. 2024-2026'!J819</f>
        <v>1168</v>
      </c>
      <c r="G48" s="564">
        <f t="shared" si="1"/>
        <v>1</v>
      </c>
    </row>
    <row r="49" spans="1:7" ht="27.75" customHeight="1" x14ac:dyDescent="0.2">
      <c r="A49" s="251" t="s">
        <v>90</v>
      </c>
      <c r="B49" s="169">
        <v>10</v>
      </c>
      <c r="C49" s="170" t="s">
        <v>48</v>
      </c>
      <c r="D49" s="261">
        <f>'Функц. 2024-2026'!F824</f>
        <v>86168.3</v>
      </c>
      <c r="E49" s="192">
        <f>'Функц. 2024-2026'!H824</f>
        <v>86168.3</v>
      </c>
      <c r="F49" s="192">
        <f>'Функц. 2024-2026'!J824</f>
        <v>83755.5</v>
      </c>
      <c r="G49" s="564">
        <f t="shared" si="1"/>
        <v>0.97199898338484103</v>
      </c>
    </row>
    <row r="50" spans="1:7" ht="28.5" customHeight="1" thickBot="1" x14ac:dyDescent="0.25">
      <c r="A50" s="251" t="s">
        <v>91</v>
      </c>
      <c r="B50" s="613">
        <v>10</v>
      </c>
      <c r="C50" s="614" t="s">
        <v>96</v>
      </c>
      <c r="D50" s="261">
        <f>'Функц. 2024-2026'!F852</f>
        <v>140</v>
      </c>
      <c r="E50" s="192">
        <f>'Функц. 2024-2026'!H852</f>
        <v>140</v>
      </c>
      <c r="F50" s="192">
        <f>'Функц. 2024-2026'!J852</f>
        <v>140</v>
      </c>
      <c r="G50" s="564">
        <f t="shared" si="1"/>
        <v>1</v>
      </c>
    </row>
    <row r="51" spans="1:7" ht="20.25" customHeight="1" thickBot="1" x14ac:dyDescent="0.25">
      <c r="A51" s="183">
        <v>1</v>
      </c>
      <c r="B51" s="184">
        <v>2</v>
      </c>
      <c r="C51" s="185">
        <v>3</v>
      </c>
      <c r="D51" s="182">
        <v>4</v>
      </c>
      <c r="E51" s="186">
        <v>5</v>
      </c>
      <c r="F51" s="186">
        <v>6</v>
      </c>
      <c r="G51" s="182">
        <v>7</v>
      </c>
    </row>
    <row r="52" spans="1:7" ht="34.35" customHeight="1" x14ac:dyDescent="0.2">
      <c r="A52" s="252" t="s">
        <v>13</v>
      </c>
      <c r="B52" s="178">
        <v>11</v>
      </c>
      <c r="C52" s="168"/>
      <c r="D52" s="262">
        <f>D53+D54</f>
        <v>119813.4</v>
      </c>
      <c r="E52" s="262">
        <f>E53+E54</f>
        <v>119813.4</v>
      </c>
      <c r="F52" s="262">
        <f>F53+F54</f>
        <v>119639.2</v>
      </c>
      <c r="G52" s="563">
        <f t="shared" si="1"/>
        <v>0.99854607247603355</v>
      </c>
    </row>
    <row r="53" spans="1:7" ht="28.5" customHeight="1" x14ac:dyDescent="0.2">
      <c r="A53" s="253" t="s">
        <v>92</v>
      </c>
      <c r="B53" s="169">
        <v>11</v>
      </c>
      <c r="C53" s="170" t="s">
        <v>30</v>
      </c>
      <c r="D53" s="261">
        <f>'Функц. 2024-2026'!F863</f>
        <v>3751.7000000000003</v>
      </c>
      <c r="E53" s="192">
        <f>'Функц. 2024-2026'!H863</f>
        <v>3751.7000000000003</v>
      </c>
      <c r="F53" s="192">
        <f>'Функц. 2024-2026'!J863</f>
        <v>3577.5</v>
      </c>
      <c r="G53" s="564">
        <f t="shared" si="1"/>
        <v>0.95356771596876078</v>
      </c>
    </row>
    <row r="54" spans="1:7" ht="28.5" customHeight="1" x14ac:dyDescent="0.2">
      <c r="A54" s="253" t="s">
        <v>647</v>
      </c>
      <c r="B54" s="169">
        <v>11</v>
      </c>
      <c r="C54" s="170" t="s">
        <v>7</v>
      </c>
      <c r="D54" s="261">
        <f>'Функц. 2024-2026'!F873</f>
        <v>116061.7</v>
      </c>
      <c r="E54" s="192">
        <f>'Функц. 2024-2026'!H873</f>
        <v>116061.7</v>
      </c>
      <c r="F54" s="192">
        <f>'Функц. 2024-2026'!J873</f>
        <v>116061.7</v>
      </c>
      <c r="G54" s="564">
        <f t="shared" si="1"/>
        <v>1</v>
      </c>
    </row>
    <row r="55" spans="1:7" ht="36.6" customHeight="1" x14ac:dyDescent="0.2">
      <c r="A55" s="252" t="s">
        <v>468</v>
      </c>
      <c r="B55" s="178">
        <v>13</v>
      </c>
      <c r="C55" s="168"/>
      <c r="D55" s="262">
        <f>D56</f>
        <v>319.90000000000003</v>
      </c>
      <c r="E55" s="179">
        <f>E56</f>
        <v>319.90000000000003</v>
      </c>
      <c r="F55" s="179">
        <f>F56</f>
        <v>319.8</v>
      </c>
      <c r="G55" s="564">
        <f t="shared" si="1"/>
        <v>0.99968740231322284</v>
      </c>
    </row>
    <row r="56" spans="1:7" ht="39.6" customHeight="1" thickBot="1" x14ac:dyDescent="0.25">
      <c r="A56" s="258" t="s">
        <v>469</v>
      </c>
      <c r="B56" s="187">
        <v>13</v>
      </c>
      <c r="C56" s="188" t="s">
        <v>29</v>
      </c>
      <c r="D56" s="265">
        <f>'Функц. 2024-2026'!F886</f>
        <v>319.90000000000003</v>
      </c>
      <c r="E56" s="193">
        <f>'Функц. 2024-2026'!H891</f>
        <v>319.90000000000003</v>
      </c>
      <c r="F56" s="193">
        <v>319.8</v>
      </c>
      <c r="G56" s="565">
        <f t="shared" si="1"/>
        <v>0.99968740231322284</v>
      </c>
    </row>
    <row r="57" spans="1:7" ht="35.1" customHeight="1" thickBot="1" x14ac:dyDescent="0.25">
      <c r="A57" s="259" t="s">
        <v>57</v>
      </c>
      <c r="B57" s="189"/>
      <c r="C57" s="190"/>
      <c r="D57" s="191">
        <f>D55+D52+D46+D42+D36+D29+D23+D19+D16+D9+D34+D44</f>
        <v>5547712.5</v>
      </c>
      <c r="E57" s="191">
        <f>E55+E52+E46+E42+E36+E29+E23+E19+E16+E9+E34+E44</f>
        <v>5643793.0999999987</v>
      </c>
      <c r="F57" s="191">
        <f>F55+F52+F46+F42+F36+F29+F23+F19+F16+F9+F34+F44</f>
        <v>5434885.6999999993</v>
      </c>
      <c r="G57" s="566">
        <f t="shared" si="1"/>
        <v>0.96298457503695534</v>
      </c>
    </row>
  </sheetData>
  <mergeCells count="11">
    <mergeCell ref="E1:G1"/>
    <mergeCell ref="E2:G2"/>
    <mergeCell ref="B3:G3"/>
    <mergeCell ref="G6:G7"/>
    <mergeCell ref="A4:G4"/>
    <mergeCell ref="A6:A7"/>
    <mergeCell ref="B6:B7"/>
    <mergeCell ref="C6:C7"/>
    <mergeCell ref="D6:D7"/>
    <mergeCell ref="F6:F7"/>
    <mergeCell ref="E6:E7"/>
  </mergeCells>
  <phoneticPr fontId="29" type="noConversion"/>
  <pageMargins left="1.2204724409448819" right="0.19685039370078741" top="0.27559055118110237" bottom="0.27559055118110237" header="0.23622047244094491" footer="0.23622047244094491"/>
  <pageSetup paperSize="9" scale="49" fitToHeight="0" orientation="portrait" r:id="rId1"/>
  <rowBreaks count="1" manualBreakCount="1">
    <brk id="50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1052"/>
  <sheetViews>
    <sheetView view="pageBreakPreview" topLeftCell="X1032" zoomScaleNormal="100" zoomScaleSheetLayoutView="100" workbookViewId="0">
      <selection activeCell="AK1035" sqref="AK103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0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1" hidden="1" customWidth="1"/>
    <col min="9" max="9" width="12.28515625" style="32" hidden="1" customWidth="1"/>
    <col min="10" max="10" width="11.7109375" style="32" hidden="1" customWidth="1"/>
    <col min="11" max="11" width="14.42578125" style="32" hidden="1" customWidth="1"/>
    <col min="12" max="12" width="12.28515625" style="32" hidden="1" customWidth="1"/>
    <col min="13" max="13" width="13.5703125" style="32" hidden="1" customWidth="1"/>
    <col min="14" max="14" width="9" style="32" hidden="1" customWidth="1"/>
    <col min="15" max="15" width="11.42578125" style="33" hidden="1" customWidth="1"/>
    <col min="16" max="16" width="13.5703125" style="34" hidden="1" customWidth="1"/>
    <col min="17" max="17" width="11.28515625" style="3" hidden="1" customWidth="1"/>
    <col min="18" max="18" width="14.42578125" style="35" hidden="1" customWidth="1"/>
    <col min="19" max="19" width="9.28515625" style="36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" hidden="1" customWidth="1"/>
    <col min="24" max="24" width="95.5703125" style="12" customWidth="1"/>
    <col min="25" max="25" width="10.5703125" style="17" customWidth="1"/>
    <col min="26" max="26" width="7" style="18" customWidth="1"/>
    <col min="27" max="27" width="6.5703125" style="18" customWidth="1"/>
    <col min="28" max="28" width="18.7109375" style="21" customWidth="1"/>
    <col min="29" max="29" width="6.42578125" style="18" customWidth="1"/>
    <col min="30" max="31" width="18.5703125" style="19" customWidth="1"/>
    <col min="32" max="35" width="15.85546875" style="19" customWidth="1"/>
    <col min="36" max="36" width="13.28515625" style="3" customWidth="1"/>
    <col min="37" max="16384" width="9.28515625" style="3"/>
  </cols>
  <sheetData>
    <row r="1" spans="1:39" hidden="1" x14ac:dyDescent="0.25">
      <c r="AH1" s="37"/>
      <c r="AI1" s="37"/>
    </row>
    <row r="2" spans="1:39" ht="73.5" customHeight="1" x14ac:dyDescent="0.25">
      <c r="AB2" s="463"/>
      <c r="AC2" s="525"/>
      <c r="AD2" s="525"/>
      <c r="AF2" s="622" t="s">
        <v>839</v>
      </c>
      <c r="AG2" s="648"/>
      <c r="AH2" s="37"/>
      <c r="AI2" s="37"/>
    </row>
    <row r="3" spans="1:39" ht="20.25" customHeight="1" x14ac:dyDescent="0.25">
      <c r="AB3" s="464"/>
      <c r="AC3" s="525"/>
      <c r="AD3" s="525"/>
      <c r="AE3" s="525"/>
      <c r="AF3" s="525"/>
      <c r="AG3" s="525"/>
      <c r="AH3" s="37"/>
      <c r="AI3" s="37"/>
    </row>
    <row r="4" spans="1:39" s="38" customFormat="1" ht="58.9" customHeight="1" x14ac:dyDescent="0.3">
      <c r="A4" s="649"/>
      <c r="B4" s="650"/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  <c r="N4" s="650"/>
      <c r="O4" s="650"/>
      <c r="P4" s="650"/>
      <c r="Q4" s="650"/>
      <c r="R4" s="650"/>
      <c r="S4" s="650"/>
      <c r="T4" s="650"/>
      <c r="X4" s="649" t="s">
        <v>821</v>
      </c>
      <c r="Y4" s="649"/>
      <c r="Z4" s="617"/>
      <c r="AA4" s="617"/>
      <c r="AB4" s="617"/>
      <c r="AC4" s="617"/>
      <c r="AD4" s="618"/>
      <c r="AE4" s="618"/>
      <c r="AF4" s="618"/>
      <c r="AG4" s="618"/>
      <c r="AH4"/>
      <c r="AI4"/>
      <c r="AK4" s="645"/>
      <c r="AL4" s="616"/>
      <c r="AM4" s="616"/>
    </row>
    <row r="5" spans="1:39" s="38" customFormat="1" ht="37.5" customHeight="1" thickBot="1" x14ac:dyDescent="0.35">
      <c r="A5" s="649"/>
      <c r="B5" s="650"/>
      <c r="C5" s="650"/>
      <c r="D5" s="650"/>
      <c r="E5" s="650"/>
      <c r="F5" s="650"/>
      <c r="G5" s="650"/>
      <c r="H5" s="650"/>
      <c r="I5" s="650"/>
      <c r="J5" s="650"/>
      <c r="K5" s="650"/>
      <c r="L5" s="650"/>
      <c r="M5" s="650"/>
      <c r="N5" s="650"/>
      <c r="O5" s="650"/>
      <c r="P5" s="650"/>
      <c r="Q5" s="650"/>
      <c r="R5" s="650"/>
      <c r="S5" s="650"/>
      <c r="T5" s="650"/>
      <c r="X5" s="649"/>
      <c r="Y5" s="649"/>
      <c r="Z5" s="649"/>
      <c r="AA5" s="649"/>
      <c r="AB5" s="649"/>
      <c r="AC5" s="649"/>
      <c r="AD5" s="111"/>
      <c r="AE5" s="111"/>
      <c r="AG5" s="311" t="s">
        <v>659</v>
      </c>
      <c r="AK5" s="647"/>
      <c r="AL5" s="623"/>
      <c r="AM5" s="623"/>
    </row>
    <row r="6" spans="1:39" ht="66" customHeight="1" thickBot="1" x14ac:dyDescent="0.3">
      <c r="A6" s="39"/>
      <c r="B6" s="40"/>
      <c r="C6" s="41"/>
      <c r="D6" s="41"/>
      <c r="E6" s="41"/>
      <c r="F6" s="41"/>
      <c r="G6" s="42"/>
      <c r="H6" s="43"/>
      <c r="I6" s="44"/>
      <c r="J6" s="42"/>
      <c r="K6" s="45"/>
      <c r="L6" s="46"/>
      <c r="M6" s="45"/>
      <c r="N6" s="46"/>
      <c r="O6" s="47"/>
      <c r="P6" s="48"/>
      <c r="Q6" s="43"/>
      <c r="R6" s="49"/>
      <c r="S6" s="46"/>
      <c r="T6" s="47"/>
      <c r="U6" s="47"/>
      <c r="V6" s="47"/>
      <c r="X6" s="22" t="s">
        <v>73</v>
      </c>
      <c r="Y6" s="112" t="s">
        <v>17</v>
      </c>
      <c r="Z6" s="15" t="s">
        <v>0</v>
      </c>
      <c r="AA6" s="15" t="s">
        <v>20</v>
      </c>
      <c r="AB6" s="136" t="s">
        <v>1</v>
      </c>
      <c r="AC6" s="314" t="s">
        <v>63</v>
      </c>
      <c r="AD6" s="120" t="s">
        <v>822</v>
      </c>
      <c r="AE6" s="120" t="s">
        <v>823</v>
      </c>
      <c r="AF6" s="120" t="s">
        <v>824</v>
      </c>
      <c r="AG6" s="120" t="s">
        <v>831</v>
      </c>
      <c r="AH6" s="159"/>
      <c r="AI6" s="159"/>
      <c r="AK6" s="645"/>
      <c r="AL6" s="646"/>
      <c r="AM6" s="646"/>
    </row>
    <row r="7" spans="1:39" s="51" customFormat="1" ht="17.25" thickBot="1" x14ac:dyDescent="0.3">
      <c r="A7" s="50"/>
      <c r="B7" s="50"/>
      <c r="C7" s="50"/>
      <c r="D7" s="50"/>
      <c r="E7" s="50"/>
      <c r="F7" s="50"/>
      <c r="G7" s="50"/>
      <c r="I7" s="50"/>
      <c r="J7" s="50"/>
      <c r="K7" s="50"/>
      <c r="L7" s="50"/>
      <c r="M7" s="50"/>
      <c r="N7" s="50"/>
      <c r="O7" s="50"/>
      <c r="P7" s="52"/>
      <c r="R7" s="53"/>
      <c r="S7" s="54"/>
      <c r="T7" s="54"/>
      <c r="U7" s="53"/>
      <c r="V7" s="53"/>
      <c r="X7" s="119">
        <v>1</v>
      </c>
      <c r="Y7" s="137">
        <v>2</v>
      </c>
      <c r="Z7" s="127">
        <v>3</v>
      </c>
      <c r="AA7" s="127">
        <v>4</v>
      </c>
      <c r="AB7" s="138">
        <v>5</v>
      </c>
      <c r="AC7" s="302">
        <v>6</v>
      </c>
      <c r="AD7" s="119">
        <v>7</v>
      </c>
      <c r="AE7" s="119">
        <v>8</v>
      </c>
      <c r="AF7" s="119">
        <v>9</v>
      </c>
      <c r="AG7" s="119">
        <v>10</v>
      </c>
      <c r="AH7" s="20"/>
      <c r="AI7" s="20"/>
    </row>
    <row r="8" spans="1:39" s="51" customFormat="1" x14ac:dyDescent="0.25">
      <c r="A8" s="50"/>
      <c r="B8" s="55"/>
      <c r="C8" s="50"/>
      <c r="D8" s="50"/>
      <c r="E8" s="50"/>
      <c r="F8" s="50"/>
      <c r="G8" s="50"/>
      <c r="I8" s="50"/>
      <c r="J8" s="50"/>
      <c r="K8" s="50"/>
      <c r="L8" s="50"/>
      <c r="M8" s="50"/>
      <c r="N8" s="50"/>
      <c r="O8" s="50"/>
      <c r="P8" s="52"/>
      <c r="R8" s="53"/>
      <c r="S8" s="54"/>
      <c r="T8" s="54"/>
      <c r="U8" s="53"/>
      <c r="V8" s="53"/>
      <c r="X8" s="333" t="s">
        <v>140</v>
      </c>
      <c r="Y8" s="334" t="s">
        <v>64</v>
      </c>
      <c r="Z8" s="335"/>
      <c r="AA8" s="336"/>
      <c r="AB8" s="337"/>
      <c r="AC8" s="338"/>
      <c r="AD8" s="339">
        <f>AD9+AD136+AD151+AD200+AD257+AD314+AD358+AD439+AD462+AD484+AD431</f>
        <v>1109597.8999999999</v>
      </c>
      <c r="AE8" s="339">
        <f>AE9+AE136+AE151+AE200+AE257+AE314+AE358+AE439+AE462+AE484+AE431</f>
        <v>1210469.6999999997</v>
      </c>
      <c r="AF8" s="466">
        <f>AF9+AF136+AF151+AF200+AF257+AF314+AF358+AF439+AF462+AF484+AF431</f>
        <v>1070924.7</v>
      </c>
      <c r="AG8" s="479">
        <f>AF8/AE8</f>
        <v>0.88471830397737361</v>
      </c>
      <c r="AH8" s="160"/>
      <c r="AI8" s="160"/>
      <c r="AJ8" s="115"/>
    </row>
    <row r="9" spans="1:39" s="65" customFormat="1" x14ac:dyDescent="0.25">
      <c r="A9" s="56"/>
      <c r="B9" s="57"/>
      <c r="C9" s="58"/>
      <c r="D9" s="59"/>
      <c r="E9" s="60"/>
      <c r="F9" s="60"/>
      <c r="G9" s="61"/>
      <c r="H9" s="61"/>
      <c r="I9" s="61"/>
      <c r="J9" s="61"/>
      <c r="K9" s="61"/>
      <c r="L9" s="61"/>
      <c r="M9" s="61"/>
      <c r="N9" s="61"/>
      <c r="O9" s="62"/>
      <c r="P9" s="61"/>
      <c r="Q9" s="63"/>
      <c r="R9" s="64"/>
      <c r="S9" s="64"/>
      <c r="T9" s="64"/>
      <c r="U9" s="64"/>
      <c r="V9" s="64"/>
      <c r="W9" s="64"/>
      <c r="X9" s="340" t="s">
        <v>25</v>
      </c>
      <c r="Y9" s="341" t="s">
        <v>64</v>
      </c>
      <c r="Z9" s="342" t="s">
        <v>29</v>
      </c>
      <c r="AA9" s="343"/>
      <c r="AB9" s="344"/>
      <c r="AC9" s="345"/>
      <c r="AD9" s="346">
        <f>AD10+AD17+AD55+AD60</f>
        <v>338081.10000000003</v>
      </c>
      <c r="AE9" s="346">
        <f>AE10+AE17+AE55+AE60</f>
        <v>438953.10000000003</v>
      </c>
      <c r="AF9" s="346">
        <f>AF10+AF17+AF55+AF60</f>
        <v>304370.2</v>
      </c>
      <c r="AG9" s="479">
        <f>AF9/AE9</f>
        <v>0.6934002744256732</v>
      </c>
      <c r="AH9" s="160"/>
      <c r="AI9" s="160"/>
      <c r="AJ9" s="115"/>
    </row>
    <row r="10" spans="1:39" ht="31.5" x14ac:dyDescent="0.25">
      <c r="B10" s="66"/>
      <c r="C10" s="67"/>
      <c r="D10" s="67"/>
      <c r="E10" s="14"/>
      <c r="F10" s="14"/>
      <c r="G10" s="68"/>
      <c r="H10" s="68"/>
      <c r="I10" s="68"/>
      <c r="J10" s="68"/>
      <c r="K10" s="68"/>
      <c r="L10" s="61"/>
      <c r="M10" s="68"/>
      <c r="N10" s="61"/>
      <c r="P10" s="68"/>
      <c r="Q10" s="69"/>
      <c r="R10" s="19"/>
      <c r="S10" s="19"/>
      <c r="T10" s="19"/>
      <c r="U10" s="19"/>
      <c r="V10" s="19"/>
      <c r="W10" s="19"/>
      <c r="X10" s="347" t="s">
        <v>10</v>
      </c>
      <c r="Y10" s="348" t="s">
        <v>64</v>
      </c>
      <c r="Z10" s="349" t="s">
        <v>29</v>
      </c>
      <c r="AA10" s="350" t="s">
        <v>30</v>
      </c>
      <c r="AB10" s="351"/>
      <c r="AC10" s="352" t="s">
        <v>380</v>
      </c>
      <c r="AD10" s="353">
        <f t="shared" ref="AD10:AF13" si="0">AD11</f>
        <v>3713.4</v>
      </c>
      <c r="AE10" s="353">
        <f t="shared" si="0"/>
        <v>3713.4</v>
      </c>
      <c r="AF10" s="468">
        <f t="shared" si="0"/>
        <v>3542.1</v>
      </c>
      <c r="AG10" s="478">
        <f t="shared" ref="AG10:AG60" si="1">AF10/AE10</f>
        <v>0.95386976894490216</v>
      </c>
      <c r="AH10" s="24"/>
      <c r="AI10" s="24"/>
      <c r="AJ10" s="115"/>
    </row>
    <row r="11" spans="1:39" x14ac:dyDescent="0.25">
      <c r="B11" s="66"/>
      <c r="C11" s="67"/>
      <c r="D11" s="67"/>
      <c r="E11" s="14"/>
      <c r="F11" s="14"/>
      <c r="G11" s="68"/>
      <c r="H11" s="68"/>
      <c r="I11" s="68"/>
      <c r="J11" s="68"/>
      <c r="K11" s="68"/>
      <c r="L11" s="61"/>
      <c r="M11" s="68"/>
      <c r="N11" s="61"/>
      <c r="P11" s="68"/>
      <c r="Q11" s="69"/>
      <c r="R11" s="19"/>
      <c r="S11" s="19"/>
      <c r="T11" s="19"/>
      <c r="U11" s="19"/>
      <c r="V11" s="19"/>
      <c r="W11" s="19"/>
      <c r="X11" s="354" t="s">
        <v>187</v>
      </c>
      <c r="Y11" s="348" t="s">
        <v>64</v>
      </c>
      <c r="Z11" s="349" t="s">
        <v>29</v>
      </c>
      <c r="AA11" s="350" t="s">
        <v>30</v>
      </c>
      <c r="AB11" s="355" t="s">
        <v>113</v>
      </c>
      <c r="AC11" s="352"/>
      <c r="AD11" s="353">
        <f>AD12</f>
        <v>3713.4</v>
      </c>
      <c r="AE11" s="353">
        <f>AE12</f>
        <v>3713.4</v>
      </c>
      <c r="AF11" s="468">
        <f>AF12</f>
        <v>3542.1</v>
      </c>
      <c r="AG11" s="478">
        <f t="shared" si="1"/>
        <v>0.95386976894490216</v>
      </c>
      <c r="AH11" s="24"/>
      <c r="AI11" s="24"/>
      <c r="AJ11" s="115"/>
    </row>
    <row r="12" spans="1:39" x14ac:dyDescent="0.25">
      <c r="A12" s="12"/>
      <c r="B12" s="66"/>
      <c r="C12" s="67"/>
      <c r="D12" s="67"/>
      <c r="E12" s="67"/>
      <c r="F12" s="14"/>
      <c r="G12" s="68"/>
      <c r="H12" s="68"/>
      <c r="I12" s="68"/>
      <c r="J12" s="68"/>
      <c r="K12" s="68"/>
      <c r="L12" s="61"/>
      <c r="M12" s="68"/>
      <c r="N12" s="61"/>
      <c r="P12" s="68"/>
      <c r="Q12" s="69"/>
      <c r="R12" s="19"/>
      <c r="S12" s="19"/>
      <c r="T12" s="19"/>
      <c r="U12" s="19"/>
      <c r="V12" s="19"/>
      <c r="W12" s="19"/>
      <c r="X12" s="354" t="s">
        <v>191</v>
      </c>
      <c r="Y12" s="348" t="s">
        <v>64</v>
      </c>
      <c r="Z12" s="349" t="s">
        <v>29</v>
      </c>
      <c r="AA12" s="350" t="s">
        <v>30</v>
      </c>
      <c r="AB12" s="355" t="s">
        <v>192</v>
      </c>
      <c r="AC12" s="352"/>
      <c r="AD12" s="353">
        <f t="shared" si="0"/>
        <v>3713.4</v>
      </c>
      <c r="AE12" s="353">
        <f t="shared" si="0"/>
        <v>3713.4</v>
      </c>
      <c r="AF12" s="468">
        <f t="shared" si="0"/>
        <v>3542.1</v>
      </c>
      <c r="AG12" s="478">
        <f t="shared" si="1"/>
        <v>0.95386976894490216</v>
      </c>
      <c r="AH12" s="24"/>
      <c r="AI12" s="24"/>
      <c r="AJ12" s="115"/>
    </row>
    <row r="13" spans="1:39" ht="31.5" x14ac:dyDescent="0.25">
      <c r="A13" s="12"/>
      <c r="B13" s="66"/>
      <c r="C13" s="67"/>
      <c r="D13" s="67"/>
      <c r="E13" s="67"/>
      <c r="F13" s="14"/>
      <c r="G13" s="68"/>
      <c r="H13" s="68"/>
      <c r="I13" s="68"/>
      <c r="J13" s="68"/>
      <c r="K13" s="68"/>
      <c r="L13" s="61"/>
      <c r="M13" s="68"/>
      <c r="N13" s="61"/>
      <c r="P13" s="68"/>
      <c r="Q13" s="69"/>
      <c r="R13" s="19"/>
      <c r="S13" s="19"/>
      <c r="T13" s="19"/>
      <c r="U13" s="19"/>
      <c r="V13" s="19"/>
      <c r="W13" s="19"/>
      <c r="X13" s="354" t="s">
        <v>193</v>
      </c>
      <c r="Y13" s="348" t="s">
        <v>64</v>
      </c>
      <c r="Z13" s="349" t="s">
        <v>29</v>
      </c>
      <c r="AA13" s="350" t="s">
        <v>30</v>
      </c>
      <c r="AB13" s="355" t="s">
        <v>194</v>
      </c>
      <c r="AC13" s="352"/>
      <c r="AD13" s="353">
        <f t="shared" si="0"/>
        <v>3713.4</v>
      </c>
      <c r="AE13" s="353">
        <f t="shared" si="0"/>
        <v>3713.4</v>
      </c>
      <c r="AF13" s="468">
        <f t="shared" si="0"/>
        <v>3542.1</v>
      </c>
      <c r="AG13" s="478">
        <f t="shared" si="1"/>
        <v>0.95386976894490216</v>
      </c>
      <c r="AH13" s="24"/>
      <c r="AI13" s="24"/>
      <c r="AJ13" s="115"/>
    </row>
    <row r="14" spans="1:39" x14ac:dyDescent="0.25">
      <c r="A14" s="12"/>
      <c r="B14" s="66"/>
      <c r="C14" s="67"/>
      <c r="D14" s="67"/>
      <c r="E14" s="67"/>
      <c r="F14" s="14"/>
      <c r="G14" s="68"/>
      <c r="H14" s="68"/>
      <c r="I14" s="68"/>
      <c r="J14" s="68"/>
      <c r="K14" s="68"/>
      <c r="L14" s="61"/>
      <c r="M14" s="68"/>
      <c r="N14" s="61"/>
      <c r="P14" s="68"/>
      <c r="Q14" s="69"/>
      <c r="R14" s="19"/>
      <c r="S14" s="19"/>
      <c r="T14" s="19"/>
      <c r="U14" s="19"/>
      <c r="V14" s="19"/>
      <c r="W14" s="19"/>
      <c r="X14" s="354" t="s">
        <v>195</v>
      </c>
      <c r="Y14" s="348" t="s">
        <v>64</v>
      </c>
      <c r="Z14" s="349" t="s">
        <v>29</v>
      </c>
      <c r="AA14" s="350" t="s">
        <v>30</v>
      </c>
      <c r="AB14" s="355" t="s">
        <v>196</v>
      </c>
      <c r="AC14" s="352"/>
      <c r="AD14" s="353">
        <f t="shared" ref="AD14:AF15" si="2">AD15</f>
        <v>3713.4</v>
      </c>
      <c r="AE14" s="353">
        <f t="shared" si="2"/>
        <v>3713.4</v>
      </c>
      <c r="AF14" s="468">
        <f t="shared" si="2"/>
        <v>3542.1</v>
      </c>
      <c r="AG14" s="478">
        <f t="shared" si="1"/>
        <v>0.95386976894490216</v>
      </c>
      <c r="AH14" s="24"/>
      <c r="AI14" s="24"/>
      <c r="AJ14" s="115"/>
    </row>
    <row r="15" spans="1:39" ht="47.25" x14ac:dyDescent="0.25">
      <c r="A15" s="12"/>
      <c r="B15" s="66"/>
      <c r="C15" s="67"/>
      <c r="D15" s="67"/>
      <c r="E15" s="67"/>
      <c r="F15" s="14"/>
      <c r="G15" s="68"/>
      <c r="H15" s="68"/>
      <c r="I15" s="68"/>
      <c r="J15" s="68"/>
      <c r="K15" s="68"/>
      <c r="L15" s="61"/>
      <c r="M15" s="68"/>
      <c r="N15" s="61"/>
      <c r="P15" s="68"/>
      <c r="Q15" s="69"/>
      <c r="R15" s="19"/>
      <c r="S15" s="19"/>
      <c r="T15" s="19"/>
      <c r="U15" s="19"/>
      <c r="V15" s="19"/>
      <c r="W15" s="19"/>
      <c r="X15" s="347" t="s">
        <v>41</v>
      </c>
      <c r="Y15" s="348" t="s">
        <v>64</v>
      </c>
      <c r="Z15" s="349" t="s">
        <v>29</v>
      </c>
      <c r="AA15" s="350" t="s">
        <v>30</v>
      </c>
      <c r="AB15" s="355" t="s">
        <v>196</v>
      </c>
      <c r="AC15" s="352">
        <v>100</v>
      </c>
      <c r="AD15" s="353">
        <f t="shared" si="2"/>
        <v>3713.4</v>
      </c>
      <c r="AE15" s="353">
        <f t="shared" si="2"/>
        <v>3713.4</v>
      </c>
      <c r="AF15" s="468">
        <f t="shared" si="2"/>
        <v>3542.1</v>
      </c>
      <c r="AG15" s="478">
        <f t="shared" si="1"/>
        <v>0.95386976894490216</v>
      </c>
      <c r="AH15" s="24"/>
      <c r="AI15" s="24"/>
      <c r="AJ15" s="115"/>
    </row>
    <row r="16" spans="1:39" x14ac:dyDescent="0.25">
      <c r="A16" s="12"/>
      <c r="B16" s="66"/>
      <c r="C16" s="67"/>
      <c r="D16" s="67"/>
      <c r="E16" s="67"/>
      <c r="F16" s="14"/>
      <c r="G16" s="68"/>
      <c r="H16" s="68"/>
      <c r="I16" s="68"/>
      <c r="J16" s="68"/>
      <c r="K16" s="68"/>
      <c r="L16" s="61"/>
      <c r="M16" s="68"/>
      <c r="N16" s="61"/>
      <c r="P16" s="68"/>
      <c r="Q16" s="69"/>
      <c r="R16" s="19"/>
      <c r="S16" s="19"/>
      <c r="T16" s="19"/>
      <c r="U16" s="19"/>
      <c r="V16" s="19"/>
      <c r="W16" s="19"/>
      <c r="X16" s="347" t="s">
        <v>97</v>
      </c>
      <c r="Y16" s="348" t="s">
        <v>64</v>
      </c>
      <c r="Z16" s="349" t="s">
        <v>29</v>
      </c>
      <c r="AA16" s="350" t="s">
        <v>30</v>
      </c>
      <c r="AB16" s="355" t="s">
        <v>196</v>
      </c>
      <c r="AC16" s="352">
        <v>120</v>
      </c>
      <c r="AD16" s="353">
        <v>3713.4</v>
      </c>
      <c r="AE16" s="353">
        <v>3713.4</v>
      </c>
      <c r="AF16" s="468">
        <v>3542.1</v>
      </c>
      <c r="AG16" s="478">
        <f t="shared" si="1"/>
        <v>0.95386976894490216</v>
      </c>
      <c r="AH16" s="24"/>
      <c r="AI16" s="24"/>
      <c r="AJ16" s="115"/>
    </row>
    <row r="17" spans="1:36" ht="31.5" x14ac:dyDescent="0.25">
      <c r="B17" s="66"/>
      <c r="C17" s="67"/>
      <c r="D17" s="67"/>
      <c r="E17" s="14"/>
      <c r="F17" s="14"/>
      <c r="G17" s="68"/>
      <c r="H17" s="68"/>
      <c r="I17" s="68"/>
      <c r="J17" s="68"/>
      <c r="K17" s="68"/>
      <c r="L17" s="61"/>
      <c r="M17" s="68"/>
      <c r="N17" s="61"/>
      <c r="O17" s="70"/>
      <c r="P17" s="68"/>
      <c r="Q17" s="69"/>
      <c r="R17" s="19"/>
      <c r="S17" s="19"/>
      <c r="T17" s="19"/>
      <c r="U17" s="19"/>
      <c r="V17" s="19"/>
      <c r="W17" s="19"/>
      <c r="X17" s="347" t="s">
        <v>50</v>
      </c>
      <c r="Y17" s="348" t="s">
        <v>64</v>
      </c>
      <c r="Z17" s="349" t="s">
        <v>29</v>
      </c>
      <c r="AA17" s="350" t="s">
        <v>48</v>
      </c>
      <c r="AB17" s="351"/>
      <c r="AC17" s="352"/>
      <c r="AD17" s="353">
        <f>AD18+AD26+AD45+AD51</f>
        <v>112862.6</v>
      </c>
      <c r="AE17" s="353">
        <f>AE18+AE26+AE45+AE51</f>
        <v>112862.6</v>
      </c>
      <c r="AF17" s="353">
        <f>AF18+AF26+AF45+AF51</f>
        <v>110642.90000000001</v>
      </c>
      <c r="AG17" s="478">
        <f t="shared" si="1"/>
        <v>0.98033272315186792</v>
      </c>
      <c r="AH17" s="24"/>
      <c r="AI17" s="24"/>
      <c r="AJ17" s="115"/>
    </row>
    <row r="18" spans="1:36" x14ac:dyDescent="0.25">
      <c r="B18" s="66"/>
      <c r="C18" s="67"/>
      <c r="D18" s="67"/>
      <c r="E18" s="14"/>
      <c r="F18" s="14"/>
      <c r="G18" s="68"/>
      <c r="H18" s="68"/>
      <c r="I18" s="68"/>
      <c r="J18" s="68"/>
      <c r="K18" s="68"/>
      <c r="L18" s="61"/>
      <c r="M18" s="68"/>
      <c r="N18" s="61"/>
      <c r="O18" s="70"/>
      <c r="P18" s="68"/>
      <c r="Q18" s="69"/>
      <c r="R18" s="19"/>
      <c r="S18" s="19"/>
      <c r="T18" s="19"/>
      <c r="U18" s="19"/>
      <c r="V18" s="19"/>
      <c r="W18" s="19"/>
      <c r="X18" s="356" t="s">
        <v>300</v>
      </c>
      <c r="Y18" s="348" t="s">
        <v>64</v>
      </c>
      <c r="Z18" s="349" t="s">
        <v>29</v>
      </c>
      <c r="AA18" s="350" t="s">
        <v>48</v>
      </c>
      <c r="AB18" s="351" t="s">
        <v>110</v>
      </c>
      <c r="AC18" s="357"/>
      <c r="AD18" s="353">
        <f>AD19</f>
        <v>3198</v>
      </c>
      <c r="AE18" s="353">
        <f t="shared" ref="AE18:AF18" si="3">AE19</f>
        <v>3198</v>
      </c>
      <c r="AF18" s="353">
        <f t="shared" si="3"/>
        <v>3198</v>
      </c>
      <c r="AG18" s="478">
        <f t="shared" si="1"/>
        <v>1</v>
      </c>
      <c r="AH18" s="24"/>
      <c r="AI18" s="24"/>
      <c r="AJ18" s="115"/>
    </row>
    <row r="19" spans="1:36" x14ac:dyDescent="0.25">
      <c r="B19" s="66"/>
      <c r="C19" s="67"/>
      <c r="D19" s="67"/>
      <c r="E19" s="14"/>
      <c r="F19" s="14"/>
      <c r="G19" s="68"/>
      <c r="H19" s="68"/>
      <c r="I19" s="68"/>
      <c r="J19" s="68"/>
      <c r="K19" s="68"/>
      <c r="L19" s="61"/>
      <c r="M19" s="68"/>
      <c r="N19" s="61"/>
      <c r="O19" s="70"/>
      <c r="P19" s="68"/>
      <c r="Q19" s="69"/>
      <c r="R19" s="19"/>
      <c r="S19" s="19"/>
      <c r="T19" s="19"/>
      <c r="U19" s="19"/>
      <c r="V19" s="19"/>
      <c r="W19" s="19"/>
      <c r="X19" s="356" t="s">
        <v>47</v>
      </c>
      <c r="Y19" s="348" t="s">
        <v>64</v>
      </c>
      <c r="Z19" s="349" t="s">
        <v>29</v>
      </c>
      <c r="AA19" s="350" t="s">
        <v>48</v>
      </c>
      <c r="AB19" s="351" t="s">
        <v>427</v>
      </c>
      <c r="AC19" s="357"/>
      <c r="AD19" s="353">
        <f t="shared" ref="AD19:AF20" si="4">AD20</f>
        <v>3198</v>
      </c>
      <c r="AE19" s="353">
        <f t="shared" si="4"/>
        <v>3198</v>
      </c>
      <c r="AF19" s="468">
        <f t="shared" si="4"/>
        <v>3198</v>
      </c>
      <c r="AG19" s="478">
        <f t="shared" si="1"/>
        <v>1</v>
      </c>
      <c r="AH19" s="24"/>
      <c r="AI19" s="24"/>
      <c r="AJ19" s="115"/>
    </row>
    <row r="20" spans="1:36" ht="47.25" x14ac:dyDescent="0.25">
      <c r="B20" s="66"/>
      <c r="C20" s="67"/>
      <c r="D20" s="67"/>
      <c r="E20" s="14"/>
      <c r="F20" s="14"/>
      <c r="G20" s="68"/>
      <c r="H20" s="68"/>
      <c r="I20" s="68"/>
      <c r="J20" s="68"/>
      <c r="K20" s="68"/>
      <c r="L20" s="61"/>
      <c r="M20" s="68"/>
      <c r="N20" s="61"/>
      <c r="O20" s="70"/>
      <c r="P20" s="68"/>
      <c r="Q20" s="69"/>
      <c r="R20" s="19"/>
      <c r="S20" s="19"/>
      <c r="T20" s="19"/>
      <c r="U20" s="19"/>
      <c r="V20" s="19"/>
      <c r="W20" s="19"/>
      <c r="X20" s="356" t="s">
        <v>557</v>
      </c>
      <c r="Y20" s="348" t="s">
        <v>64</v>
      </c>
      <c r="Z20" s="349" t="s">
        <v>29</v>
      </c>
      <c r="AA20" s="350" t="s">
        <v>48</v>
      </c>
      <c r="AB20" s="351" t="s">
        <v>556</v>
      </c>
      <c r="AC20" s="357"/>
      <c r="AD20" s="353">
        <f t="shared" si="4"/>
        <v>3198</v>
      </c>
      <c r="AE20" s="353">
        <f t="shared" si="4"/>
        <v>3198</v>
      </c>
      <c r="AF20" s="468">
        <f t="shared" si="4"/>
        <v>3198</v>
      </c>
      <c r="AG20" s="478">
        <f t="shared" si="1"/>
        <v>1</v>
      </c>
      <c r="AH20" s="24"/>
      <c r="AI20" s="24"/>
      <c r="AJ20" s="115"/>
    </row>
    <row r="21" spans="1:36" ht="47.25" x14ac:dyDescent="0.25">
      <c r="B21" s="66"/>
      <c r="C21" s="67"/>
      <c r="D21" s="67"/>
      <c r="E21" s="14"/>
      <c r="F21" s="14"/>
      <c r="G21" s="68"/>
      <c r="H21" s="68"/>
      <c r="I21" s="68"/>
      <c r="J21" s="68"/>
      <c r="K21" s="68"/>
      <c r="L21" s="61"/>
      <c r="M21" s="68"/>
      <c r="N21" s="61"/>
      <c r="O21" s="70"/>
      <c r="P21" s="68"/>
      <c r="Q21" s="69"/>
      <c r="R21" s="19"/>
      <c r="S21" s="19"/>
      <c r="T21" s="19"/>
      <c r="U21" s="19"/>
      <c r="V21" s="19"/>
      <c r="W21" s="19"/>
      <c r="X21" s="358" t="s">
        <v>376</v>
      </c>
      <c r="Y21" s="348" t="s">
        <v>64</v>
      </c>
      <c r="Z21" s="349" t="s">
        <v>29</v>
      </c>
      <c r="AA21" s="350" t="s">
        <v>48</v>
      </c>
      <c r="AB21" s="351" t="s">
        <v>558</v>
      </c>
      <c r="AC21" s="357"/>
      <c r="AD21" s="353">
        <f>AD22+AD24</f>
        <v>3198</v>
      </c>
      <c r="AE21" s="353">
        <f>AE22+AE24</f>
        <v>3198</v>
      </c>
      <c r="AF21" s="468">
        <f>AF22+AF24</f>
        <v>3198</v>
      </c>
      <c r="AG21" s="478">
        <f t="shared" si="1"/>
        <v>1</v>
      </c>
      <c r="AH21" s="24"/>
      <c r="AI21" s="24"/>
      <c r="AJ21" s="115"/>
    </row>
    <row r="22" spans="1:36" ht="47.25" x14ac:dyDescent="0.25">
      <c r="B22" s="66"/>
      <c r="C22" s="67"/>
      <c r="D22" s="67"/>
      <c r="E22" s="14"/>
      <c r="F22" s="14"/>
      <c r="G22" s="68"/>
      <c r="H22" s="68"/>
      <c r="I22" s="68"/>
      <c r="J22" s="68"/>
      <c r="K22" s="68"/>
      <c r="L22" s="61"/>
      <c r="M22" s="68"/>
      <c r="N22" s="61"/>
      <c r="O22" s="70"/>
      <c r="P22" s="68"/>
      <c r="Q22" s="69"/>
      <c r="R22" s="19"/>
      <c r="S22" s="19"/>
      <c r="T22" s="19"/>
      <c r="U22" s="19"/>
      <c r="V22" s="19"/>
      <c r="W22" s="19"/>
      <c r="X22" s="347" t="s">
        <v>41</v>
      </c>
      <c r="Y22" s="348" t="s">
        <v>64</v>
      </c>
      <c r="Z22" s="349" t="s">
        <v>29</v>
      </c>
      <c r="AA22" s="350" t="s">
        <v>48</v>
      </c>
      <c r="AB22" s="351" t="s">
        <v>558</v>
      </c>
      <c r="AC22" s="352">
        <v>100</v>
      </c>
      <c r="AD22" s="353">
        <f>AD23</f>
        <v>3150.9</v>
      </c>
      <c r="AE22" s="353">
        <f>AE23</f>
        <v>3150.9</v>
      </c>
      <c r="AF22" s="468">
        <f>AF23</f>
        <v>3150.9</v>
      </c>
      <c r="AG22" s="478">
        <f t="shared" si="1"/>
        <v>1</v>
      </c>
      <c r="AH22" s="24"/>
      <c r="AI22" s="24"/>
      <c r="AJ22" s="115"/>
    </row>
    <row r="23" spans="1:36" x14ac:dyDescent="0.25">
      <c r="B23" s="66"/>
      <c r="C23" s="67"/>
      <c r="D23" s="67"/>
      <c r="E23" s="14"/>
      <c r="F23" s="14"/>
      <c r="G23" s="68"/>
      <c r="H23" s="68"/>
      <c r="I23" s="68"/>
      <c r="J23" s="68"/>
      <c r="K23" s="68"/>
      <c r="L23" s="61"/>
      <c r="M23" s="68"/>
      <c r="N23" s="61"/>
      <c r="O23" s="70"/>
      <c r="P23" s="68"/>
      <c r="Q23" s="69"/>
      <c r="R23" s="19"/>
      <c r="S23" s="19"/>
      <c r="T23" s="19"/>
      <c r="U23" s="19"/>
      <c r="V23" s="19"/>
      <c r="W23" s="19"/>
      <c r="X23" s="347" t="s">
        <v>97</v>
      </c>
      <c r="Y23" s="348" t="s">
        <v>64</v>
      </c>
      <c r="Z23" s="349" t="s">
        <v>29</v>
      </c>
      <c r="AA23" s="350" t="s">
        <v>48</v>
      </c>
      <c r="AB23" s="351" t="s">
        <v>558</v>
      </c>
      <c r="AC23" s="357">
        <v>120</v>
      </c>
      <c r="AD23" s="353">
        <f>3038.5+112.4</f>
        <v>3150.9</v>
      </c>
      <c r="AE23" s="353">
        <f>3038.5+112.4</f>
        <v>3150.9</v>
      </c>
      <c r="AF23" s="468">
        <v>3150.9</v>
      </c>
      <c r="AG23" s="478">
        <f t="shared" si="1"/>
        <v>1</v>
      </c>
      <c r="AH23" s="24"/>
      <c r="AI23" s="24"/>
      <c r="AJ23" s="115"/>
    </row>
    <row r="24" spans="1:36" x14ac:dyDescent="0.25">
      <c r="B24" s="66"/>
      <c r="C24" s="67"/>
      <c r="D24" s="67"/>
      <c r="E24" s="14"/>
      <c r="F24" s="14"/>
      <c r="G24" s="68"/>
      <c r="H24" s="68"/>
      <c r="I24" s="68"/>
      <c r="J24" s="68"/>
      <c r="K24" s="68"/>
      <c r="L24" s="61"/>
      <c r="M24" s="68"/>
      <c r="N24" s="61"/>
      <c r="O24" s="70"/>
      <c r="P24" s="68"/>
      <c r="Q24" s="69"/>
      <c r="R24" s="19"/>
      <c r="S24" s="19"/>
      <c r="T24" s="19"/>
      <c r="U24" s="19"/>
      <c r="V24" s="19"/>
      <c r="W24" s="19"/>
      <c r="X24" s="347" t="s">
        <v>121</v>
      </c>
      <c r="Y24" s="348" t="s">
        <v>64</v>
      </c>
      <c r="Z24" s="349" t="s">
        <v>29</v>
      </c>
      <c r="AA24" s="350" t="s">
        <v>48</v>
      </c>
      <c r="AB24" s="351" t="s">
        <v>558</v>
      </c>
      <c r="AC24" s="357">
        <v>200</v>
      </c>
      <c r="AD24" s="353">
        <f>AD25</f>
        <v>47.099999999999994</v>
      </c>
      <c r="AE24" s="353">
        <f>AE25</f>
        <v>47.099999999999994</v>
      </c>
      <c r="AF24" s="468">
        <f>AF25</f>
        <v>47.1</v>
      </c>
      <c r="AG24" s="478">
        <f t="shared" si="1"/>
        <v>1.0000000000000002</v>
      </c>
      <c r="AH24" s="24"/>
      <c r="AI24" s="24"/>
      <c r="AJ24" s="115"/>
    </row>
    <row r="25" spans="1:36" ht="31.5" x14ac:dyDescent="0.25">
      <c r="B25" s="66"/>
      <c r="C25" s="67"/>
      <c r="D25" s="67"/>
      <c r="E25" s="14"/>
      <c r="F25" s="14"/>
      <c r="G25" s="68"/>
      <c r="H25" s="68"/>
      <c r="I25" s="68"/>
      <c r="J25" s="68"/>
      <c r="K25" s="68"/>
      <c r="L25" s="61"/>
      <c r="M25" s="68"/>
      <c r="N25" s="61"/>
      <c r="O25" s="70"/>
      <c r="P25" s="68"/>
      <c r="Q25" s="69"/>
      <c r="R25" s="19"/>
      <c r="S25" s="19"/>
      <c r="T25" s="19"/>
      <c r="U25" s="19"/>
      <c r="V25" s="19"/>
      <c r="W25" s="19"/>
      <c r="X25" s="347" t="s">
        <v>52</v>
      </c>
      <c r="Y25" s="348" t="s">
        <v>64</v>
      </c>
      <c r="Z25" s="349" t="s">
        <v>29</v>
      </c>
      <c r="AA25" s="350" t="s">
        <v>48</v>
      </c>
      <c r="AB25" s="351" t="s">
        <v>558</v>
      </c>
      <c r="AC25" s="357">
        <v>240</v>
      </c>
      <c r="AD25" s="353">
        <f>159.5-112.4</f>
        <v>47.099999999999994</v>
      </c>
      <c r="AE25" s="353">
        <f>159.5-112.4</f>
        <v>47.099999999999994</v>
      </c>
      <c r="AF25" s="468">
        <v>47.1</v>
      </c>
      <c r="AG25" s="478">
        <f t="shared" si="1"/>
        <v>1.0000000000000002</v>
      </c>
      <c r="AH25" s="24"/>
      <c r="AI25" s="24"/>
      <c r="AJ25" s="115"/>
    </row>
    <row r="26" spans="1:36" x14ac:dyDescent="0.25">
      <c r="A26" s="71"/>
      <c r="B26" s="66"/>
      <c r="C26" s="67"/>
      <c r="D26" s="67"/>
      <c r="E26" s="67"/>
      <c r="F26" s="14"/>
      <c r="G26" s="68"/>
      <c r="H26" s="68"/>
      <c r="I26" s="68"/>
      <c r="J26" s="68"/>
      <c r="K26" s="68"/>
      <c r="L26" s="61"/>
      <c r="M26" s="68"/>
      <c r="N26" s="61"/>
      <c r="O26" s="70"/>
      <c r="P26" s="68"/>
      <c r="Q26" s="69"/>
      <c r="R26" s="19"/>
      <c r="S26" s="19"/>
      <c r="T26" s="19"/>
      <c r="U26" s="19"/>
      <c r="V26" s="19"/>
      <c r="W26" s="19"/>
      <c r="X26" s="354" t="s">
        <v>187</v>
      </c>
      <c r="Y26" s="348" t="s">
        <v>64</v>
      </c>
      <c r="Z26" s="349" t="s">
        <v>29</v>
      </c>
      <c r="AA26" s="350" t="s">
        <v>48</v>
      </c>
      <c r="AB26" s="355" t="s">
        <v>113</v>
      </c>
      <c r="AC26" s="352"/>
      <c r="AD26" s="353">
        <f>AD27</f>
        <v>96050.4</v>
      </c>
      <c r="AE26" s="353">
        <f>AE27</f>
        <v>96050.4</v>
      </c>
      <c r="AF26" s="468">
        <f>AF27</f>
        <v>93844.2</v>
      </c>
      <c r="AG26" s="478">
        <f t="shared" si="1"/>
        <v>0.97703080882536675</v>
      </c>
      <c r="AH26" s="24"/>
      <c r="AI26" s="24"/>
      <c r="AJ26" s="115"/>
    </row>
    <row r="27" spans="1:36" x14ac:dyDescent="0.25">
      <c r="A27" s="73"/>
      <c r="C27" s="67"/>
      <c r="D27" s="67"/>
      <c r="E27" s="67"/>
      <c r="F27" s="67"/>
      <c r="G27" s="68"/>
      <c r="H27" s="3"/>
      <c r="L27" s="61"/>
      <c r="N27" s="61"/>
      <c r="O27" s="74"/>
      <c r="P27" s="68"/>
      <c r="Q27" s="69"/>
      <c r="R27" s="19"/>
      <c r="S27" s="19"/>
      <c r="T27" s="19"/>
      <c r="U27" s="19"/>
      <c r="V27" s="19"/>
      <c r="X27" s="354" t="s">
        <v>191</v>
      </c>
      <c r="Y27" s="348" t="s">
        <v>64</v>
      </c>
      <c r="Z27" s="349" t="s">
        <v>29</v>
      </c>
      <c r="AA27" s="350" t="s">
        <v>48</v>
      </c>
      <c r="AB27" s="355" t="s">
        <v>192</v>
      </c>
      <c r="AC27" s="357"/>
      <c r="AD27" s="353">
        <f>AD28+AD41</f>
        <v>96050.4</v>
      </c>
      <c r="AE27" s="353">
        <f>AE28+AE41</f>
        <v>96050.4</v>
      </c>
      <c r="AF27" s="468">
        <f>AF28+AF41</f>
        <v>93844.2</v>
      </c>
      <c r="AG27" s="478">
        <f t="shared" si="1"/>
        <v>0.97703080882536675</v>
      </c>
      <c r="AH27" s="24"/>
      <c r="AI27" s="24"/>
      <c r="AJ27" s="115"/>
    </row>
    <row r="28" spans="1:36" ht="31.5" x14ac:dyDescent="0.25">
      <c r="A28" s="73"/>
      <c r="C28" s="67"/>
      <c r="D28" s="67"/>
      <c r="E28" s="67"/>
      <c r="F28" s="67"/>
      <c r="G28" s="68"/>
      <c r="H28" s="3"/>
      <c r="L28" s="61"/>
      <c r="N28" s="61"/>
      <c r="O28" s="74"/>
      <c r="P28" s="68"/>
      <c r="Q28" s="69"/>
      <c r="R28" s="19"/>
      <c r="S28" s="19"/>
      <c r="T28" s="19"/>
      <c r="U28" s="19"/>
      <c r="V28" s="19"/>
      <c r="X28" s="354" t="s">
        <v>193</v>
      </c>
      <c r="Y28" s="348" t="s">
        <v>64</v>
      </c>
      <c r="Z28" s="349" t="s">
        <v>29</v>
      </c>
      <c r="AA28" s="350" t="s">
        <v>48</v>
      </c>
      <c r="AB28" s="355" t="s">
        <v>194</v>
      </c>
      <c r="AC28" s="357"/>
      <c r="AD28" s="353">
        <f>AD29</f>
        <v>95894</v>
      </c>
      <c r="AE28" s="353">
        <f>AE29</f>
        <v>95894</v>
      </c>
      <c r="AF28" s="468">
        <f>AF29</f>
        <v>93687.8</v>
      </c>
      <c r="AG28" s="478">
        <f t="shared" si="1"/>
        <v>0.97699334682044758</v>
      </c>
      <c r="AH28" s="24"/>
      <c r="AI28" s="24"/>
      <c r="AJ28" s="115"/>
    </row>
    <row r="29" spans="1:36" x14ac:dyDescent="0.25">
      <c r="A29" s="73"/>
      <c r="C29" s="67"/>
      <c r="D29" s="67"/>
      <c r="E29" s="67"/>
      <c r="F29" s="67"/>
      <c r="G29" s="68"/>
      <c r="H29" s="3"/>
      <c r="L29" s="61"/>
      <c r="N29" s="61"/>
      <c r="O29" s="74"/>
      <c r="P29" s="68"/>
      <c r="Q29" s="69"/>
      <c r="R29" s="19"/>
      <c r="S29" s="19"/>
      <c r="T29" s="19"/>
      <c r="U29" s="19"/>
      <c r="V29" s="19"/>
      <c r="X29" s="354" t="s">
        <v>197</v>
      </c>
      <c r="Y29" s="348" t="s">
        <v>64</v>
      </c>
      <c r="Z29" s="349" t="s">
        <v>29</v>
      </c>
      <c r="AA29" s="350" t="s">
        <v>48</v>
      </c>
      <c r="AB29" s="355" t="s">
        <v>198</v>
      </c>
      <c r="AC29" s="357"/>
      <c r="AD29" s="353">
        <f>AD30+AD35+AD38</f>
        <v>95894</v>
      </c>
      <c r="AE29" s="353">
        <f>AE30+AE35+AE38</f>
        <v>95894</v>
      </c>
      <c r="AF29" s="468">
        <f>AF30+AF35+AF38</f>
        <v>93687.8</v>
      </c>
      <c r="AG29" s="478">
        <f t="shared" si="1"/>
        <v>0.97699334682044758</v>
      </c>
      <c r="AH29" s="24"/>
      <c r="AI29" s="24"/>
      <c r="AJ29" s="115"/>
    </row>
    <row r="30" spans="1:36" ht="31.5" x14ac:dyDescent="0.25">
      <c r="A30" s="73"/>
      <c r="C30" s="67"/>
      <c r="D30" s="67"/>
      <c r="E30" s="67"/>
      <c r="F30" s="67"/>
      <c r="G30" s="68"/>
      <c r="H30" s="3"/>
      <c r="L30" s="61"/>
      <c r="N30" s="61"/>
      <c r="O30" s="74"/>
      <c r="P30" s="68"/>
      <c r="Q30" s="69"/>
      <c r="R30" s="19"/>
      <c r="S30" s="19"/>
      <c r="T30" s="19"/>
      <c r="U30" s="19"/>
      <c r="V30" s="19"/>
      <c r="X30" s="347" t="s">
        <v>199</v>
      </c>
      <c r="Y30" s="360" t="s">
        <v>64</v>
      </c>
      <c r="Z30" s="361" t="s">
        <v>29</v>
      </c>
      <c r="AA30" s="362" t="s">
        <v>48</v>
      </c>
      <c r="AB30" s="355" t="s">
        <v>200</v>
      </c>
      <c r="AC30" s="357"/>
      <c r="AD30" s="353">
        <f>AD31+AD33</f>
        <v>9316.5000000000018</v>
      </c>
      <c r="AE30" s="353">
        <f t="shared" ref="AE30:AG30" si="5">AE31+AE33</f>
        <v>9316.5000000000018</v>
      </c>
      <c r="AF30" s="353">
        <f t="shared" si="5"/>
        <v>8178.9000000000005</v>
      </c>
      <c r="AG30" s="353">
        <f t="shared" si="5"/>
        <v>1.8778927482718646</v>
      </c>
      <c r="AH30" s="24"/>
      <c r="AI30" s="24"/>
      <c r="AJ30" s="115"/>
    </row>
    <row r="31" spans="1:36" x14ac:dyDescent="0.25">
      <c r="A31" s="73"/>
      <c r="C31" s="67"/>
      <c r="D31" s="67"/>
      <c r="E31" s="67"/>
      <c r="F31" s="67"/>
      <c r="G31" s="68"/>
      <c r="H31" s="3"/>
      <c r="L31" s="61"/>
      <c r="N31" s="61"/>
      <c r="O31" s="74"/>
      <c r="P31" s="68"/>
      <c r="Q31" s="69"/>
      <c r="R31" s="19"/>
      <c r="S31" s="19"/>
      <c r="T31" s="19"/>
      <c r="U31" s="19"/>
      <c r="V31" s="19"/>
      <c r="X31" s="347" t="s">
        <v>121</v>
      </c>
      <c r="Y31" s="348" t="s">
        <v>64</v>
      </c>
      <c r="Z31" s="349" t="s">
        <v>29</v>
      </c>
      <c r="AA31" s="350" t="s">
        <v>48</v>
      </c>
      <c r="AB31" s="355" t="s">
        <v>200</v>
      </c>
      <c r="AC31" s="357">
        <v>200</v>
      </c>
      <c r="AD31" s="353">
        <f>AD32</f>
        <v>9316.4000000000015</v>
      </c>
      <c r="AE31" s="353">
        <f>AE32</f>
        <v>9316.4000000000015</v>
      </c>
      <c r="AF31" s="468">
        <f>AF32</f>
        <v>8178.8</v>
      </c>
      <c r="AG31" s="478">
        <f t="shared" si="1"/>
        <v>0.87789274827186459</v>
      </c>
      <c r="AH31" s="24"/>
      <c r="AI31" s="24"/>
      <c r="AJ31" s="115"/>
    </row>
    <row r="32" spans="1:36" ht="31.5" x14ac:dyDescent="0.25">
      <c r="A32" s="73"/>
      <c r="C32" s="67"/>
      <c r="D32" s="67"/>
      <c r="E32" s="67"/>
      <c r="F32" s="67"/>
      <c r="G32" s="68"/>
      <c r="H32" s="3"/>
      <c r="L32" s="61"/>
      <c r="N32" s="61"/>
      <c r="O32" s="74"/>
      <c r="P32" s="68"/>
      <c r="Q32" s="69"/>
      <c r="R32" s="19"/>
      <c r="S32" s="19"/>
      <c r="T32" s="19"/>
      <c r="U32" s="19"/>
      <c r="V32" s="19"/>
      <c r="X32" s="347" t="s">
        <v>52</v>
      </c>
      <c r="Y32" s="348" t="s">
        <v>64</v>
      </c>
      <c r="Z32" s="349" t="s">
        <v>29</v>
      </c>
      <c r="AA32" s="350" t="s">
        <v>48</v>
      </c>
      <c r="AB32" s="355" t="s">
        <v>200</v>
      </c>
      <c r="AC32" s="357">
        <v>240</v>
      </c>
      <c r="AD32" s="353">
        <f>8827.2-110+649.6-0.1-50-0.3</f>
        <v>9316.4000000000015</v>
      </c>
      <c r="AE32" s="353">
        <f>8827.2-110+649.6-0.1-50-0.3</f>
        <v>9316.4000000000015</v>
      </c>
      <c r="AF32" s="468">
        <v>8178.8</v>
      </c>
      <c r="AG32" s="478">
        <f t="shared" si="1"/>
        <v>0.87789274827186459</v>
      </c>
      <c r="AH32" s="24"/>
      <c r="AI32" s="24"/>
      <c r="AJ32" s="115"/>
    </row>
    <row r="33" spans="1:36" x14ac:dyDescent="0.25">
      <c r="A33" s="73"/>
      <c r="C33" s="67"/>
      <c r="D33" s="67"/>
      <c r="E33" s="67"/>
      <c r="F33" s="67"/>
      <c r="G33" s="68"/>
      <c r="H33" s="3"/>
      <c r="L33" s="61"/>
      <c r="N33" s="61"/>
      <c r="O33" s="74"/>
      <c r="P33" s="68"/>
      <c r="Q33" s="69"/>
      <c r="R33" s="19"/>
      <c r="S33" s="19"/>
      <c r="T33" s="19"/>
      <c r="U33" s="19"/>
      <c r="V33" s="19"/>
      <c r="X33" s="347" t="s">
        <v>42</v>
      </c>
      <c r="Y33" s="348" t="s">
        <v>64</v>
      </c>
      <c r="Z33" s="349" t="s">
        <v>29</v>
      </c>
      <c r="AA33" s="350" t="s">
        <v>48</v>
      </c>
      <c r="AB33" s="355" t="s">
        <v>200</v>
      </c>
      <c r="AC33" s="357">
        <v>800</v>
      </c>
      <c r="AD33" s="353">
        <f>AD34</f>
        <v>0.1</v>
      </c>
      <c r="AE33" s="353">
        <f>AE34</f>
        <v>0.1</v>
      </c>
      <c r="AF33" s="468">
        <f>AF34</f>
        <v>0.1</v>
      </c>
      <c r="AG33" s="478">
        <f t="shared" si="1"/>
        <v>1</v>
      </c>
      <c r="AH33" s="24"/>
      <c r="AI33" s="24"/>
      <c r="AJ33" s="115"/>
    </row>
    <row r="34" spans="1:36" x14ac:dyDescent="0.25">
      <c r="A34" s="73"/>
      <c r="C34" s="67"/>
      <c r="D34" s="67"/>
      <c r="E34" s="67"/>
      <c r="F34" s="67"/>
      <c r="G34" s="68"/>
      <c r="H34" s="3"/>
      <c r="L34" s="61"/>
      <c r="N34" s="61"/>
      <c r="O34" s="74"/>
      <c r="P34" s="68"/>
      <c r="Q34" s="69"/>
      <c r="R34" s="19"/>
      <c r="S34" s="19"/>
      <c r="T34" s="19"/>
      <c r="U34" s="19"/>
      <c r="V34" s="19"/>
      <c r="X34" s="347" t="s">
        <v>58</v>
      </c>
      <c r="Y34" s="348" t="s">
        <v>64</v>
      </c>
      <c r="Z34" s="349" t="s">
        <v>29</v>
      </c>
      <c r="AA34" s="350" t="s">
        <v>48</v>
      </c>
      <c r="AB34" s="355" t="s">
        <v>200</v>
      </c>
      <c r="AC34" s="357">
        <v>850</v>
      </c>
      <c r="AD34" s="353">
        <v>0.1</v>
      </c>
      <c r="AE34" s="353">
        <v>0.1</v>
      </c>
      <c r="AF34" s="468">
        <v>0.1</v>
      </c>
      <c r="AG34" s="478">
        <f t="shared" si="1"/>
        <v>1</v>
      </c>
      <c r="AH34" s="24"/>
      <c r="AI34" s="24"/>
      <c r="AJ34" s="115"/>
    </row>
    <row r="35" spans="1:36" ht="31.5" x14ac:dyDescent="0.25">
      <c r="A35" s="73"/>
      <c r="C35" s="67"/>
      <c r="D35" s="67"/>
      <c r="E35" s="67"/>
      <c r="F35" s="67"/>
      <c r="G35" s="68"/>
      <c r="H35" s="3"/>
      <c r="L35" s="61"/>
      <c r="N35" s="61"/>
      <c r="O35" s="74"/>
      <c r="P35" s="68"/>
      <c r="Q35" s="69"/>
      <c r="R35" s="19"/>
      <c r="S35" s="19"/>
      <c r="T35" s="19"/>
      <c r="U35" s="19"/>
      <c r="V35" s="19"/>
      <c r="X35" s="347" t="s">
        <v>201</v>
      </c>
      <c r="Y35" s="348" t="s">
        <v>64</v>
      </c>
      <c r="Z35" s="349" t="s">
        <v>29</v>
      </c>
      <c r="AA35" s="350" t="s">
        <v>48</v>
      </c>
      <c r="AB35" s="355" t="s">
        <v>202</v>
      </c>
      <c r="AC35" s="352"/>
      <c r="AD35" s="353">
        <f t="shared" ref="AD35:AF36" si="6">AD36</f>
        <v>23377.7</v>
      </c>
      <c r="AE35" s="353">
        <f t="shared" si="6"/>
        <v>23377.7</v>
      </c>
      <c r="AF35" s="468">
        <f t="shared" si="6"/>
        <v>23253.7</v>
      </c>
      <c r="AG35" s="478">
        <f t="shared" si="1"/>
        <v>0.99469579984344059</v>
      </c>
      <c r="AH35" s="24"/>
      <c r="AI35" s="24"/>
      <c r="AJ35" s="115"/>
    </row>
    <row r="36" spans="1:36" ht="47.25" x14ac:dyDescent="0.25">
      <c r="A36" s="73"/>
      <c r="C36" s="67"/>
      <c r="D36" s="67"/>
      <c r="E36" s="67"/>
      <c r="F36" s="67"/>
      <c r="G36" s="68"/>
      <c r="H36" s="3"/>
      <c r="L36" s="61"/>
      <c r="N36" s="61"/>
      <c r="O36" s="74"/>
      <c r="P36" s="68"/>
      <c r="Q36" s="69"/>
      <c r="R36" s="19"/>
      <c r="S36" s="19"/>
      <c r="T36" s="19"/>
      <c r="U36" s="19"/>
      <c r="V36" s="19"/>
      <c r="X36" s="347" t="s">
        <v>41</v>
      </c>
      <c r="Y36" s="348" t="s">
        <v>64</v>
      </c>
      <c r="Z36" s="349" t="s">
        <v>29</v>
      </c>
      <c r="AA36" s="350" t="s">
        <v>48</v>
      </c>
      <c r="AB36" s="355" t="s">
        <v>202</v>
      </c>
      <c r="AC36" s="352">
        <v>100</v>
      </c>
      <c r="AD36" s="353">
        <f t="shared" si="6"/>
        <v>23377.7</v>
      </c>
      <c r="AE36" s="353">
        <f t="shared" si="6"/>
        <v>23377.7</v>
      </c>
      <c r="AF36" s="468">
        <f t="shared" si="6"/>
        <v>23253.7</v>
      </c>
      <c r="AG36" s="478">
        <f t="shared" si="1"/>
        <v>0.99469579984344059</v>
      </c>
      <c r="AH36" s="24"/>
      <c r="AI36" s="24"/>
      <c r="AJ36" s="115"/>
    </row>
    <row r="37" spans="1:36" x14ac:dyDescent="0.25">
      <c r="A37" s="73"/>
      <c r="C37" s="67"/>
      <c r="D37" s="67"/>
      <c r="E37" s="67"/>
      <c r="F37" s="67"/>
      <c r="G37" s="68"/>
      <c r="H37" s="3"/>
      <c r="L37" s="61"/>
      <c r="N37" s="61"/>
      <c r="O37" s="74"/>
      <c r="P37" s="68"/>
      <c r="Q37" s="69"/>
      <c r="R37" s="19"/>
      <c r="S37" s="19"/>
      <c r="T37" s="19"/>
      <c r="U37" s="19"/>
      <c r="V37" s="19"/>
      <c r="X37" s="347" t="s">
        <v>97</v>
      </c>
      <c r="Y37" s="348" t="s">
        <v>64</v>
      </c>
      <c r="Z37" s="349" t="s">
        <v>29</v>
      </c>
      <c r="AA37" s="350" t="s">
        <v>48</v>
      </c>
      <c r="AB37" s="355" t="s">
        <v>202</v>
      </c>
      <c r="AC37" s="357">
        <v>120</v>
      </c>
      <c r="AD37" s="353">
        <f>27336.7-3039-920</f>
        <v>23377.7</v>
      </c>
      <c r="AE37" s="353">
        <f>27336.7-3039-920</f>
        <v>23377.7</v>
      </c>
      <c r="AF37" s="468">
        <v>23253.7</v>
      </c>
      <c r="AG37" s="478">
        <f t="shared" si="1"/>
        <v>0.99469579984344059</v>
      </c>
      <c r="AH37" s="24"/>
      <c r="AI37" s="24"/>
      <c r="AJ37" s="115"/>
    </row>
    <row r="38" spans="1:36" ht="31.5" x14ac:dyDescent="0.25">
      <c r="A38" s="73"/>
      <c r="C38" s="67"/>
      <c r="D38" s="67"/>
      <c r="E38" s="67"/>
      <c r="F38" s="67"/>
      <c r="G38" s="68"/>
      <c r="H38" s="3"/>
      <c r="L38" s="61"/>
      <c r="N38" s="61"/>
      <c r="O38" s="74"/>
      <c r="P38" s="68"/>
      <c r="Q38" s="69"/>
      <c r="R38" s="19"/>
      <c r="S38" s="19"/>
      <c r="T38" s="19"/>
      <c r="U38" s="19"/>
      <c r="V38" s="19"/>
      <c r="X38" s="347" t="s">
        <v>203</v>
      </c>
      <c r="Y38" s="348" t="s">
        <v>64</v>
      </c>
      <c r="Z38" s="349" t="s">
        <v>29</v>
      </c>
      <c r="AA38" s="350" t="s">
        <v>48</v>
      </c>
      <c r="AB38" s="355" t="s">
        <v>204</v>
      </c>
      <c r="AC38" s="352"/>
      <c r="AD38" s="353">
        <f t="shared" ref="AD38:AF39" si="7">AD39</f>
        <v>63199.8</v>
      </c>
      <c r="AE38" s="353">
        <f t="shared" si="7"/>
        <v>63199.8</v>
      </c>
      <c r="AF38" s="468">
        <f t="shared" si="7"/>
        <v>62255.199999999997</v>
      </c>
      <c r="AG38" s="478">
        <f t="shared" si="1"/>
        <v>0.98505375017009533</v>
      </c>
      <c r="AH38" s="24"/>
      <c r="AI38" s="24"/>
      <c r="AJ38" s="115"/>
    </row>
    <row r="39" spans="1:36" ht="47.25" x14ac:dyDescent="0.25">
      <c r="A39" s="73"/>
      <c r="C39" s="67"/>
      <c r="D39" s="67"/>
      <c r="E39" s="67"/>
      <c r="F39" s="67"/>
      <c r="G39" s="68"/>
      <c r="H39" s="3"/>
      <c r="L39" s="61"/>
      <c r="N39" s="61"/>
      <c r="O39" s="74"/>
      <c r="P39" s="68"/>
      <c r="Q39" s="69"/>
      <c r="R39" s="19"/>
      <c r="S39" s="19"/>
      <c r="T39" s="19"/>
      <c r="U39" s="19"/>
      <c r="V39" s="19"/>
      <c r="X39" s="347" t="s">
        <v>41</v>
      </c>
      <c r="Y39" s="348" t="s">
        <v>64</v>
      </c>
      <c r="Z39" s="349" t="s">
        <v>29</v>
      </c>
      <c r="AA39" s="350" t="s">
        <v>48</v>
      </c>
      <c r="AB39" s="355" t="s">
        <v>204</v>
      </c>
      <c r="AC39" s="352">
        <v>100</v>
      </c>
      <c r="AD39" s="353">
        <f t="shared" si="7"/>
        <v>63199.8</v>
      </c>
      <c r="AE39" s="353">
        <f t="shared" si="7"/>
        <v>63199.8</v>
      </c>
      <c r="AF39" s="468">
        <f t="shared" si="7"/>
        <v>62255.199999999997</v>
      </c>
      <c r="AG39" s="478">
        <f t="shared" si="1"/>
        <v>0.98505375017009533</v>
      </c>
      <c r="AH39" s="24"/>
      <c r="AI39" s="24"/>
      <c r="AJ39" s="115"/>
    </row>
    <row r="40" spans="1:36" x14ac:dyDescent="0.25">
      <c r="A40" s="73"/>
      <c r="C40" s="67"/>
      <c r="D40" s="67"/>
      <c r="E40" s="67"/>
      <c r="F40" s="67"/>
      <c r="G40" s="68"/>
      <c r="H40" s="3"/>
      <c r="L40" s="61"/>
      <c r="N40" s="61"/>
      <c r="O40" s="74"/>
      <c r="P40" s="68"/>
      <c r="Q40" s="69"/>
      <c r="R40" s="19"/>
      <c r="S40" s="19"/>
      <c r="T40" s="19"/>
      <c r="U40" s="19"/>
      <c r="V40" s="19"/>
      <c r="X40" s="347" t="s">
        <v>97</v>
      </c>
      <c r="Y40" s="348" t="s">
        <v>64</v>
      </c>
      <c r="Z40" s="349" t="s">
        <v>29</v>
      </c>
      <c r="AA40" s="350" t="s">
        <v>48</v>
      </c>
      <c r="AB40" s="355" t="s">
        <v>204</v>
      </c>
      <c r="AC40" s="357">
        <v>120</v>
      </c>
      <c r="AD40" s="353">
        <f>51379.7+7482.8+4337.3</f>
        <v>63199.8</v>
      </c>
      <c r="AE40" s="353">
        <f>51379.7+7482.8+4337.3</f>
        <v>63199.8</v>
      </c>
      <c r="AF40" s="468">
        <v>62255.199999999997</v>
      </c>
      <c r="AG40" s="478">
        <f t="shared" si="1"/>
        <v>0.98505375017009533</v>
      </c>
      <c r="AH40" s="24"/>
      <c r="AI40" s="24"/>
      <c r="AJ40" s="115"/>
    </row>
    <row r="41" spans="1:36" ht="31.5" x14ac:dyDescent="0.25">
      <c r="A41" s="73"/>
      <c r="C41" s="67"/>
      <c r="D41" s="67"/>
      <c r="E41" s="67"/>
      <c r="F41" s="67"/>
      <c r="G41" s="68"/>
      <c r="H41" s="3"/>
      <c r="L41" s="61"/>
      <c r="N41" s="61"/>
      <c r="O41" s="74"/>
      <c r="P41" s="68"/>
      <c r="Q41" s="69"/>
      <c r="R41" s="19"/>
      <c r="S41" s="19"/>
      <c r="T41" s="19"/>
      <c r="U41" s="19"/>
      <c r="V41" s="19"/>
      <c r="X41" s="347" t="s">
        <v>572</v>
      </c>
      <c r="Y41" s="348" t="s">
        <v>64</v>
      </c>
      <c r="Z41" s="349" t="s">
        <v>29</v>
      </c>
      <c r="AA41" s="350" t="s">
        <v>48</v>
      </c>
      <c r="AB41" s="363" t="s">
        <v>573</v>
      </c>
      <c r="AC41" s="357"/>
      <c r="AD41" s="353">
        <f t="shared" ref="AD41:AE43" si="8">AD42</f>
        <v>156.39999999999998</v>
      </c>
      <c r="AE41" s="353">
        <f t="shared" si="8"/>
        <v>156.39999999999998</v>
      </c>
      <c r="AF41" s="468">
        <f t="shared" ref="AF41:AF43" si="9">AF42</f>
        <v>156.4</v>
      </c>
      <c r="AG41" s="478">
        <f t="shared" si="1"/>
        <v>1.0000000000000002</v>
      </c>
      <c r="AH41" s="24"/>
      <c r="AI41" s="24"/>
      <c r="AJ41" s="115"/>
    </row>
    <row r="42" spans="1:36" ht="78.75" x14ac:dyDescent="0.25">
      <c r="A42" s="73"/>
      <c r="C42" s="67"/>
      <c r="D42" s="67"/>
      <c r="E42" s="67"/>
      <c r="F42" s="67"/>
      <c r="G42" s="68"/>
      <c r="H42" s="3"/>
      <c r="L42" s="61"/>
      <c r="N42" s="61"/>
      <c r="O42" s="74"/>
      <c r="P42" s="68"/>
      <c r="Q42" s="69"/>
      <c r="R42" s="19"/>
      <c r="S42" s="19"/>
      <c r="T42" s="19"/>
      <c r="U42" s="19"/>
      <c r="V42" s="19"/>
      <c r="X42" s="347" t="s">
        <v>432</v>
      </c>
      <c r="Y42" s="348" t="s">
        <v>64</v>
      </c>
      <c r="Z42" s="349" t="s">
        <v>29</v>
      </c>
      <c r="AA42" s="350" t="s">
        <v>48</v>
      </c>
      <c r="AB42" s="355" t="s">
        <v>574</v>
      </c>
      <c r="AC42" s="357"/>
      <c r="AD42" s="353">
        <f t="shared" si="8"/>
        <v>156.39999999999998</v>
      </c>
      <c r="AE42" s="353">
        <f t="shared" si="8"/>
        <v>156.39999999999998</v>
      </c>
      <c r="AF42" s="468">
        <f t="shared" si="9"/>
        <v>156.4</v>
      </c>
      <c r="AG42" s="478">
        <f t="shared" si="1"/>
        <v>1.0000000000000002</v>
      </c>
      <c r="AH42" s="24"/>
      <c r="AI42" s="24"/>
      <c r="AJ42" s="115"/>
    </row>
    <row r="43" spans="1:36" x14ac:dyDescent="0.25">
      <c r="A43" s="73"/>
      <c r="C43" s="67"/>
      <c r="D43" s="67"/>
      <c r="E43" s="67"/>
      <c r="F43" s="67"/>
      <c r="G43" s="68"/>
      <c r="H43" s="3"/>
      <c r="L43" s="61"/>
      <c r="N43" s="61"/>
      <c r="O43" s="74"/>
      <c r="P43" s="68"/>
      <c r="Q43" s="69"/>
      <c r="R43" s="19"/>
      <c r="S43" s="19"/>
      <c r="T43" s="19"/>
      <c r="U43" s="19"/>
      <c r="V43" s="19"/>
      <c r="X43" s="347" t="s">
        <v>121</v>
      </c>
      <c r="Y43" s="348" t="s">
        <v>64</v>
      </c>
      <c r="Z43" s="349" t="s">
        <v>29</v>
      </c>
      <c r="AA43" s="350" t="s">
        <v>48</v>
      </c>
      <c r="AB43" s="355" t="s">
        <v>574</v>
      </c>
      <c r="AC43" s="357">
        <v>200</v>
      </c>
      <c r="AD43" s="353">
        <f t="shared" si="8"/>
        <v>156.39999999999998</v>
      </c>
      <c r="AE43" s="353">
        <f t="shared" si="8"/>
        <v>156.39999999999998</v>
      </c>
      <c r="AF43" s="468">
        <f t="shared" si="9"/>
        <v>156.4</v>
      </c>
      <c r="AG43" s="478">
        <f t="shared" si="1"/>
        <v>1.0000000000000002</v>
      </c>
      <c r="AH43" s="24"/>
      <c r="AI43" s="24"/>
      <c r="AJ43" s="115"/>
    </row>
    <row r="44" spans="1:36" ht="31.5" x14ac:dyDescent="0.25">
      <c r="A44" s="73"/>
      <c r="C44" s="67"/>
      <c r="D44" s="67"/>
      <c r="E44" s="67"/>
      <c r="F44" s="67"/>
      <c r="G44" s="68"/>
      <c r="H44" s="3"/>
      <c r="L44" s="61"/>
      <c r="N44" s="61"/>
      <c r="O44" s="74"/>
      <c r="P44" s="68"/>
      <c r="Q44" s="69"/>
      <c r="R44" s="19"/>
      <c r="S44" s="19"/>
      <c r="T44" s="19"/>
      <c r="U44" s="19"/>
      <c r="V44" s="19"/>
      <c r="X44" s="347" t="s">
        <v>52</v>
      </c>
      <c r="Y44" s="348" t="s">
        <v>64</v>
      </c>
      <c r="Z44" s="349" t="s">
        <v>29</v>
      </c>
      <c r="AA44" s="350" t="s">
        <v>48</v>
      </c>
      <c r="AB44" s="355" t="s">
        <v>574</v>
      </c>
      <c r="AC44" s="357">
        <v>240</v>
      </c>
      <c r="AD44" s="353">
        <f>52.8+33.8+25+38+56.8-42-8</f>
        <v>156.39999999999998</v>
      </c>
      <c r="AE44" s="353">
        <f>52.8+33.8+25+38+56.8-42-8</f>
        <v>156.39999999999998</v>
      </c>
      <c r="AF44" s="468">
        <v>156.4</v>
      </c>
      <c r="AG44" s="478">
        <f t="shared" si="1"/>
        <v>1.0000000000000002</v>
      </c>
      <c r="AH44" s="24"/>
      <c r="AI44" s="24"/>
      <c r="AJ44" s="115"/>
    </row>
    <row r="45" spans="1:36" ht="31.5" x14ac:dyDescent="0.25">
      <c r="A45" s="73"/>
      <c r="C45" s="67"/>
      <c r="D45" s="67"/>
      <c r="E45" s="67"/>
      <c r="F45" s="67"/>
      <c r="G45" s="68"/>
      <c r="H45" s="3"/>
      <c r="L45" s="61"/>
      <c r="N45" s="61"/>
      <c r="O45" s="74"/>
      <c r="P45" s="68"/>
      <c r="Q45" s="69"/>
      <c r="R45" s="19"/>
      <c r="S45" s="19"/>
      <c r="T45" s="19"/>
      <c r="U45" s="19"/>
      <c r="V45" s="19"/>
      <c r="X45" s="356" t="s">
        <v>306</v>
      </c>
      <c r="Y45" s="348" t="s">
        <v>64</v>
      </c>
      <c r="Z45" s="349" t="s">
        <v>29</v>
      </c>
      <c r="AA45" s="350" t="s">
        <v>48</v>
      </c>
      <c r="AB45" s="355" t="s">
        <v>132</v>
      </c>
      <c r="AC45" s="357"/>
      <c r="AD45" s="353">
        <f t="shared" ref="AD45:AF47" si="10">AD46</f>
        <v>9138.6</v>
      </c>
      <c r="AE45" s="353">
        <f t="shared" si="10"/>
        <v>9138.6</v>
      </c>
      <c r="AF45" s="468">
        <f t="shared" si="10"/>
        <v>9125.1</v>
      </c>
      <c r="AG45" s="478">
        <f t="shared" si="1"/>
        <v>0.99852274965530829</v>
      </c>
      <c r="AH45" s="24"/>
      <c r="AI45" s="24"/>
      <c r="AJ45" s="115"/>
    </row>
    <row r="46" spans="1:36" ht="47.25" x14ac:dyDescent="0.25">
      <c r="A46" s="73"/>
      <c r="C46" s="67"/>
      <c r="D46" s="67"/>
      <c r="E46" s="67"/>
      <c r="F46" s="67"/>
      <c r="G46" s="68"/>
      <c r="H46" s="3"/>
      <c r="L46" s="61"/>
      <c r="N46" s="61"/>
      <c r="O46" s="74"/>
      <c r="P46" s="68"/>
      <c r="Q46" s="69"/>
      <c r="R46" s="19"/>
      <c r="S46" s="19"/>
      <c r="T46" s="19"/>
      <c r="U46" s="19"/>
      <c r="V46" s="19"/>
      <c r="X46" s="364" t="s">
        <v>553</v>
      </c>
      <c r="Y46" s="348" t="s">
        <v>64</v>
      </c>
      <c r="Z46" s="349" t="s">
        <v>29</v>
      </c>
      <c r="AA46" s="350" t="s">
        <v>48</v>
      </c>
      <c r="AB46" s="355" t="s">
        <v>308</v>
      </c>
      <c r="AC46" s="357"/>
      <c r="AD46" s="353">
        <f t="shared" si="10"/>
        <v>9138.6</v>
      </c>
      <c r="AE46" s="353">
        <f t="shared" si="10"/>
        <v>9138.6</v>
      </c>
      <c r="AF46" s="468">
        <f t="shared" si="10"/>
        <v>9125.1</v>
      </c>
      <c r="AG46" s="478">
        <f t="shared" si="1"/>
        <v>0.99852274965530829</v>
      </c>
      <c r="AH46" s="24"/>
      <c r="AI46" s="24"/>
      <c r="AJ46" s="115"/>
    </row>
    <row r="47" spans="1:36" ht="31.5" x14ac:dyDescent="0.25">
      <c r="A47" s="73"/>
      <c r="C47" s="67"/>
      <c r="D47" s="67"/>
      <c r="E47" s="67"/>
      <c r="F47" s="67"/>
      <c r="G47" s="68"/>
      <c r="H47" s="3"/>
      <c r="L47" s="61"/>
      <c r="N47" s="61"/>
      <c r="O47" s="74"/>
      <c r="P47" s="68"/>
      <c r="Q47" s="69"/>
      <c r="R47" s="19"/>
      <c r="S47" s="19"/>
      <c r="T47" s="19"/>
      <c r="U47" s="19"/>
      <c r="V47" s="19"/>
      <c r="X47" s="365" t="s">
        <v>309</v>
      </c>
      <c r="Y47" s="348" t="s">
        <v>64</v>
      </c>
      <c r="Z47" s="349" t="s">
        <v>29</v>
      </c>
      <c r="AA47" s="350" t="s">
        <v>48</v>
      </c>
      <c r="AB47" s="355" t="s">
        <v>310</v>
      </c>
      <c r="AC47" s="357"/>
      <c r="AD47" s="353">
        <f t="shared" si="10"/>
        <v>9138.6</v>
      </c>
      <c r="AE47" s="353">
        <f t="shared" si="10"/>
        <v>9138.6</v>
      </c>
      <c r="AF47" s="468">
        <f t="shared" si="10"/>
        <v>9125.1</v>
      </c>
      <c r="AG47" s="478">
        <f t="shared" si="1"/>
        <v>0.99852274965530829</v>
      </c>
      <c r="AH47" s="24"/>
      <c r="AI47" s="24"/>
      <c r="AJ47" s="115"/>
    </row>
    <row r="48" spans="1:36" ht="94.5" x14ac:dyDescent="0.25">
      <c r="A48" s="73"/>
      <c r="C48" s="67"/>
      <c r="D48" s="67"/>
      <c r="E48" s="67"/>
      <c r="F48" s="67"/>
      <c r="G48" s="68"/>
      <c r="H48" s="3"/>
      <c r="L48" s="61"/>
      <c r="N48" s="61"/>
      <c r="O48" s="74"/>
      <c r="P48" s="68"/>
      <c r="Q48" s="69"/>
      <c r="R48" s="19"/>
      <c r="S48" s="19"/>
      <c r="T48" s="19"/>
      <c r="U48" s="19"/>
      <c r="V48" s="19"/>
      <c r="X48" s="365" t="s">
        <v>365</v>
      </c>
      <c r="Y48" s="348" t="s">
        <v>64</v>
      </c>
      <c r="Z48" s="349" t="s">
        <v>29</v>
      </c>
      <c r="AA48" s="350" t="s">
        <v>48</v>
      </c>
      <c r="AB48" s="363" t="s">
        <v>311</v>
      </c>
      <c r="AC48" s="357"/>
      <c r="AD48" s="353">
        <f t="shared" ref="AD48:AF49" si="11">AD49</f>
        <v>9138.6</v>
      </c>
      <c r="AE48" s="353">
        <f t="shared" si="11"/>
        <v>9138.6</v>
      </c>
      <c r="AF48" s="468">
        <f t="shared" si="11"/>
        <v>9125.1</v>
      </c>
      <c r="AG48" s="478">
        <f t="shared" si="1"/>
        <v>0.99852274965530829</v>
      </c>
      <c r="AH48" s="24"/>
      <c r="AI48" s="24"/>
      <c r="AJ48" s="115"/>
    </row>
    <row r="49" spans="1:36" x14ac:dyDescent="0.25">
      <c r="A49" s="73"/>
      <c r="C49" s="67"/>
      <c r="D49" s="67"/>
      <c r="E49" s="67"/>
      <c r="F49" s="67"/>
      <c r="G49" s="68"/>
      <c r="H49" s="3"/>
      <c r="L49" s="61"/>
      <c r="N49" s="61"/>
      <c r="O49" s="74"/>
      <c r="P49" s="68"/>
      <c r="Q49" s="69"/>
      <c r="R49" s="19"/>
      <c r="S49" s="19"/>
      <c r="T49" s="19"/>
      <c r="U49" s="19"/>
      <c r="V49" s="19"/>
      <c r="X49" s="347" t="s">
        <v>121</v>
      </c>
      <c r="Y49" s="348" t="s">
        <v>64</v>
      </c>
      <c r="Z49" s="349" t="s">
        <v>29</v>
      </c>
      <c r="AA49" s="350" t="s">
        <v>48</v>
      </c>
      <c r="AB49" s="363" t="s">
        <v>311</v>
      </c>
      <c r="AC49" s="357">
        <v>200</v>
      </c>
      <c r="AD49" s="353">
        <f t="shared" si="11"/>
        <v>9138.6</v>
      </c>
      <c r="AE49" s="353">
        <f t="shared" si="11"/>
        <v>9138.6</v>
      </c>
      <c r="AF49" s="468">
        <f t="shared" si="11"/>
        <v>9125.1</v>
      </c>
      <c r="AG49" s="478">
        <f t="shared" si="1"/>
        <v>0.99852274965530829</v>
      </c>
      <c r="AH49" s="24"/>
      <c r="AI49" s="24"/>
      <c r="AJ49" s="115"/>
    </row>
    <row r="50" spans="1:36" ht="31.5" x14ac:dyDescent="0.25">
      <c r="A50" s="73"/>
      <c r="C50" s="67"/>
      <c r="D50" s="67"/>
      <c r="E50" s="67"/>
      <c r="F50" s="67"/>
      <c r="G50" s="68"/>
      <c r="H50" s="3"/>
      <c r="L50" s="61"/>
      <c r="N50" s="61"/>
      <c r="O50" s="74"/>
      <c r="P50" s="68"/>
      <c r="Q50" s="69"/>
      <c r="R50" s="19"/>
      <c r="S50" s="19"/>
      <c r="T50" s="19"/>
      <c r="U50" s="19"/>
      <c r="V50" s="19"/>
      <c r="X50" s="347" t="s">
        <v>52</v>
      </c>
      <c r="Y50" s="348" t="s">
        <v>64</v>
      </c>
      <c r="Z50" s="349" t="s">
        <v>29</v>
      </c>
      <c r="AA50" s="350" t="s">
        <v>48</v>
      </c>
      <c r="AB50" s="363" t="s">
        <v>311</v>
      </c>
      <c r="AC50" s="357">
        <v>240</v>
      </c>
      <c r="AD50" s="353">
        <f>6608.4+200+250+1252+840-8.4-3.4</f>
        <v>9138.6</v>
      </c>
      <c r="AE50" s="353">
        <f>6608.4+200+250+1252+840-8.4-3.4</f>
        <v>9138.6</v>
      </c>
      <c r="AF50" s="468">
        <v>9125.1</v>
      </c>
      <c r="AG50" s="478">
        <f t="shared" si="1"/>
        <v>0.99852274965530829</v>
      </c>
      <c r="AH50" s="209"/>
      <c r="AI50" s="24"/>
      <c r="AJ50" s="115"/>
    </row>
    <row r="51" spans="1:36" x14ac:dyDescent="0.25">
      <c r="A51" s="73"/>
      <c r="C51" s="67"/>
      <c r="D51" s="67"/>
      <c r="E51" s="67"/>
      <c r="F51" s="67"/>
      <c r="G51" s="68"/>
      <c r="H51" s="3"/>
      <c r="L51" s="61"/>
      <c r="N51" s="61"/>
      <c r="O51" s="74"/>
      <c r="P51" s="68"/>
      <c r="Q51" s="69"/>
      <c r="R51" s="19"/>
      <c r="S51" s="19"/>
      <c r="T51" s="19"/>
      <c r="U51" s="19"/>
      <c r="V51" s="19"/>
      <c r="X51" s="366" t="s">
        <v>344</v>
      </c>
      <c r="Y51" s="348" t="s">
        <v>64</v>
      </c>
      <c r="Z51" s="349" t="s">
        <v>29</v>
      </c>
      <c r="AA51" s="350" t="s">
        <v>48</v>
      </c>
      <c r="AB51" s="355" t="s">
        <v>138</v>
      </c>
      <c r="AC51" s="357"/>
      <c r="AD51" s="353">
        <f t="shared" ref="AD51:AE53" si="12">AD52</f>
        <v>4475.6000000000004</v>
      </c>
      <c r="AE51" s="353">
        <f t="shared" si="12"/>
        <v>4475.6000000000004</v>
      </c>
      <c r="AF51" s="468">
        <f t="shared" ref="AF51" si="13">AF52</f>
        <v>4475.6000000000004</v>
      </c>
      <c r="AG51" s="478">
        <f t="shared" si="1"/>
        <v>1</v>
      </c>
      <c r="AH51" s="209"/>
      <c r="AI51" s="24"/>
      <c r="AJ51" s="115"/>
    </row>
    <row r="52" spans="1:36" ht="30" customHeight="1" x14ac:dyDescent="0.25">
      <c r="A52" s="73"/>
      <c r="C52" s="67"/>
      <c r="D52" s="67"/>
      <c r="E52" s="67"/>
      <c r="F52" s="67"/>
      <c r="G52" s="68"/>
      <c r="H52" s="3"/>
      <c r="L52" s="61"/>
      <c r="N52" s="61"/>
      <c r="O52" s="74"/>
      <c r="P52" s="68"/>
      <c r="Q52" s="69"/>
      <c r="R52" s="19"/>
      <c r="S52" s="19"/>
      <c r="T52" s="19"/>
      <c r="U52" s="19"/>
      <c r="V52" s="19"/>
      <c r="X52" s="347" t="s">
        <v>820</v>
      </c>
      <c r="Y52" s="348" t="s">
        <v>64</v>
      </c>
      <c r="Z52" s="349" t="s">
        <v>29</v>
      </c>
      <c r="AA52" s="350" t="s">
        <v>48</v>
      </c>
      <c r="AB52" s="355" t="s">
        <v>819</v>
      </c>
      <c r="AC52" s="357"/>
      <c r="AD52" s="353">
        <f t="shared" si="12"/>
        <v>4475.6000000000004</v>
      </c>
      <c r="AE52" s="353">
        <f t="shared" si="12"/>
        <v>4475.6000000000004</v>
      </c>
      <c r="AF52" s="468">
        <f t="shared" ref="AF52" si="14">AF53</f>
        <v>4475.6000000000004</v>
      </c>
      <c r="AG52" s="478">
        <f t="shared" si="1"/>
        <v>1</v>
      </c>
      <c r="AH52" s="209"/>
      <c r="AI52" s="24"/>
      <c r="AJ52" s="115"/>
    </row>
    <row r="53" spans="1:36" ht="47.25" x14ac:dyDescent="0.25">
      <c r="A53" s="73"/>
      <c r="C53" s="67"/>
      <c r="D53" s="67"/>
      <c r="E53" s="67"/>
      <c r="F53" s="67"/>
      <c r="G53" s="68"/>
      <c r="H53" s="3"/>
      <c r="L53" s="61"/>
      <c r="N53" s="61"/>
      <c r="O53" s="74"/>
      <c r="P53" s="68"/>
      <c r="Q53" s="69"/>
      <c r="R53" s="19"/>
      <c r="S53" s="19"/>
      <c r="T53" s="19"/>
      <c r="U53" s="19"/>
      <c r="V53" s="19"/>
      <c r="X53" s="347" t="s">
        <v>41</v>
      </c>
      <c r="Y53" s="348" t="s">
        <v>64</v>
      </c>
      <c r="Z53" s="349" t="s">
        <v>29</v>
      </c>
      <c r="AA53" s="350" t="s">
        <v>48</v>
      </c>
      <c r="AB53" s="355" t="s">
        <v>819</v>
      </c>
      <c r="AC53" s="357">
        <v>100</v>
      </c>
      <c r="AD53" s="353">
        <f t="shared" si="12"/>
        <v>4475.6000000000004</v>
      </c>
      <c r="AE53" s="353">
        <f t="shared" si="12"/>
        <v>4475.6000000000004</v>
      </c>
      <c r="AF53" s="468">
        <f t="shared" ref="AF53" si="15">AF54</f>
        <v>4475.6000000000004</v>
      </c>
      <c r="AG53" s="478">
        <f t="shared" si="1"/>
        <v>1</v>
      </c>
      <c r="AH53" s="209"/>
      <c r="AI53" s="24"/>
      <c r="AJ53" s="115"/>
    </row>
    <row r="54" spans="1:36" x14ac:dyDescent="0.25">
      <c r="A54" s="73"/>
      <c r="C54" s="67"/>
      <c r="D54" s="67"/>
      <c r="E54" s="67"/>
      <c r="F54" s="67"/>
      <c r="G54" s="68"/>
      <c r="H54" s="3"/>
      <c r="L54" s="61"/>
      <c r="N54" s="61"/>
      <c r="O54" s="74"/>
      <c r="P54" s="68"/>
      <c r="Q54" s="69"/>
      <c r="R54" s="19"/>
      <c r="S54" s="19"/>
      <c r="T54" s="19"/>
      <c r="U54" s="19"/>
      <c r="V54" s="19"/>
      <c r="X54" s="347" t="s">
        <v>97</v>
      </c>
      <c r="Y54" s="348" t="s">
        <v>64</v>
      </c>
      <c r="Z54" s="349" t="s">
        <v>29</v>
      </c>
      <c r="AA54" s="350" t="s">
        <v>48</v>
      </c>
      <c r="AB54" s="355" t="s">
        <v>819</v>
      </c>
      <c r="AC54" s="357">
        <v>120</v>
      </c>
      <c r="AD54" s="353">
        <v>4475.6000000000004</v>
      </c>
      <c r="AE54" s="353">
        <v>4475.6000000000004</v>
      </c>
      <c r="AF54" s="468">
        <v>4475.6000000000004</v>
      </c>
      <c r="AG54" s="478">
        <f t="shared" si="1"/>
        <v>1</v>
      </c>
      <c r="AH54" s="209"/>
      <c r="AI54" s="24"/>
      <c r="AJ54" s="115"/>
    </row>
    <row r="55" spans="1:36" x14ac:dyDescent="0.25">
      <c r="B55" s="66"/>
      <c r="C55" s="67"/>
      <c r="D55" s="67"/>
      <c r="E55" s="67"/>
      <c r="F55" s="67"/>
      <c r="G55" s="68"/>
      <c r="H55" s="68"/>
      <c r="I55" s="68"/>
      <c r="J55" s="68"/>
      <c r="K55" s="68"/>
      <c r="L55" s="61"/>
      <c r="M55" s="68"/>
      <c r="N55" s="61"/>
      <c r="P55" s="68"/>
      <c r="Q55" s="69"/>
      <c r="R55" s="19"/>
      <c r="S55" s="19"/>
      <c r="T55" s="19"/>
      <c r="U55" s="19"/>
      <c r="V55" s="19"/>
      <c r="W55" s="19"/>
      <c r="X55" s="347" t="s">
        <v>2</v>
      </c>
      <c r="Y55" s="348" t="s">
        <v>64</v>
      </c>
      <c r="Z55" s="349" t="s">
        <v>29</v>
      </c>
      <c r="AA55" s="350">
        <v>11</v>
      </c>
      <c r="AB55" s="367"/>
      <c r="AC55" s="357"/>
      <c r="AD55" s="353">
        <f t="shared" ref="AD55:AF56" si="16">AD56</f>
        <v>1000</v>
      </c>
      <c r="AE55" s="353">
        <f t="shared" si="16"/>
        <v>1000</v>
      </c>
      <c r="AF55" s="468">
        <f t="shared" si="16"/>
        <v>0</v>
      </c>
      <c r="AG55" s="478">
        <f t="shared" si="1"/>
        <v>0</v>
      </c>
      <c r="AH55" s="24"/>
      <c r="AI55" s="24"/>
      <c r="AJ55" s="115"/>
    </row>
    <row r="56" spans="1:36" x14ac:dyDescent="0.25">
      <c r="A56" s="73"/>
      <c r="B56" s="66"/>
      <c r="C56" s="67"/>
      <c r="D56" s="67"/>
      <c r="E56" s="67"/>
      <c r="F56" s="67"/>
      <c r="G56" s="68"/>
      <c r="H56" s="3"/>
      <c r="L56" s="61"/>
      <c r="N56" s="61"/>
      <c r="Q56" s="69"/>
      <c r="R56" s="19"/>
      <c r="S56" s="19"/>
      <c r="T56" s="19"/>
      <c r="U56" s="19"/>
      <c r="V56" s="19"/>
      <c r="X56" s="347" t="s">
        <v>344</v>
      </c>
      <c r="Y56" s="348" t="s">
        <v>64</v>
      </c>
      <c r="Z56" s="349" t="s">
        <v>29</v>
      </c>
      <c r="AA56" s="350">
        <v>11</v>
      </c>
      <c r="AB56" s="351" t="s">
        <v>138</v>
      </c>
      <c r="AC56" s="357"/>
      <c r="AD56" s="353">
        <f t="shared" si="16"/>
        <v>1000</v>
      </c>
      <c r="AE56" s="353">
        <f t="shared" si="16"/>
        <v>1000</v>
      </c>
      <c r="AF56" s="468">
        <f t="shared" si="16"/>
        <v>0</v>
      </c>
      <c r="AG56" s="478">
        <f t="shared" si="1"/>
        <v>0</v>
      </c>
      <c r="AH56" s="24"/>
      <c r="AI56" s="24"/>
      <c r="AJ56" s="115"/>
    </row>
    <row r="57" spans="1:36" ht="31.5" x14ac:dyDescent="0.25">
      <c r="A57" s="73"/>
      <c r="B57" s="66"/>
      <c r="C57" s="67"/>
      <c r="D57" s="67"/>
      <c r="E57" s="67"/>
      <c r="F57" s="67"/>
      <c r="G57" s="68"/>
      <c r="H57" s="3"/>
      <c r="L57" s="61"/>
      <c r="N57" s="61"/>
      <c r="Q57" s="69"/>
      <c r="R57" s="19"/>
      <c r="S57" s="19"/>
      <c r="T57" s="19"/>
      <c r="U57" s="19"/>
      <c r="V57" s="19"/>
      <c r="X57" s="368" t="s">
        <v>337</v>
      </c>
      <c r="Y57" s="348" t="s">
        <v>64</v>
      </c>
      <c r="Z57" s="349" t="s">
        <v>29</v>
      </c>
      <c r="AA57" s="350">
        <v>11</v>
      </c>
      <c r="AB57" s="355" t="s">
        <v>338</v>
      </c>
      <c r="AC57" s="357"/>
      <c r="AD57" s="353">
        <f t="shared" ref="AD57:AF58" si="17">AD58</f>
        <v>1000</v>
      </c>
      <c r="AE57" s="353">
        <f t="shared" si="17"/>
        <v>1000</v>
      </c>
      <c r="AF57" s="468">
        <f t="shared" si="17"/>
        <v>0</v>
      </c>
      <c r="AG57" s="478">
        <f t="shared" si="1"/>
        <v>0</v>
      </c>
      <c r="AH57" s="24"/>
      <c r="AI57" s="24"/>
      <c r="AJ57" s="115"/>
    </row>
    <row r="58" spans="1:36" x14ac:dyDescent="0.25">
      <c r="A58" s="73"/>
      <c r="B58" s="66"/>
      <c r="C58" s="67"/>
      <c r="D58" s="67"/>
      <c r="E58" s="67"/>
      <c r="F58" s="67"/>
      <c r="G58" s="68"/>
      <c r="H58" s="3"/>
      <c r="L58" s="61"/>
      <c r="N58" s="61"/>
      <c r="Q58" s="69"/>
      <c r="R58" s="19"/>
      <c r="S58" s="19"/>
      <c r="T58" s="19"/>
      <c r="U58" s="19"/>
      <c r="V58" s="19"/>
      <c r="X58" s="347" t="s">
        <v>42</v>
      </c>
      <c r="Y58" s="348" t="s">
        <v>64</v>
      </c>
      <c r="Z58" s="349" t="s">
        <v>29</v>
      </c>
      <c r="AA58" s="350">
        <v>11</v>
      </c>
      <c r="AB58" s="355" t="s">
        <v>338</v>
      </c>
      <c r="AC58" s="357">
        <v>800</v>
      </c>
      <c r="AD58" s="353">
        <f t="shared" si="17"/>
        <v>1000</v>
      </c>
      <c r="AE58" s="353">
        <f t="shared" si="17"/>
        <v>1000</v>
      </c>
      <c r="AF58" s="468">
        <f t="shared" si="17"/>
        <v>0</v>
      </c>
      <c r="AG58" s="478">
        <f t="shared" si="1"/>
        <v>0</v>
      </c>
      <c r="AH58" s="24"/>
      <c r="AI58" s="24"/>
      <c r="AJ58" s="115"/>
    </row>
    <row r="59" spans="1:36" x14ac:dyDescent="0.25">
      <c r="A59" s="73"/>
      <c r="B59" s="66"/>
      <c r="C59" s="67"/>
      <c r="D59" s="67"/>
      <c r="E59" s="67"/>
      <c r="F59" s="67"/>
      <c r="G59" s="68"/>
      <c r="H59" s="3"/>
      <c r="L59" s="61"/>
      <c r="N59" s="61"/>
      <c r="Q59" s="69"/>
      <c r="R59" s="19"/>
      <c r="S59" s="19"/>
      <c r="T59" s="19"/>
      <c r="U59" s="19"/>
      <c r="V59" s="19"/>
      <c r="X59" s="347" t="s">
        <v>137</v>
      </c>
      <c r="Y59" s="348" t="s">
        <v>64</v>
      </c>
      <c r="Z59" s="349" t="s">
        <v>29</v>
      </c>
      <c r="AA59" s="350">
        <v>11</v>
      </c>
      <c r="AB59" s="355" t="s">
        <v>338</v>
      </c>
      <c r="AC59" s="357">
        <v>870</v>
      </c>
      <c r="AD59" s="353">
        <v>1000</v>
      </c>
      <c r="AE59" s="353">
        <v>1000</v>
      </c>
      <c r="AF59" s="468">
        <v>0</v>
      </c>
      <c r="AG59" s="478">
        <f t="shared" si="1"/>
        <v>0</v>
      </c>
      <c r="AH59" s="24"/>
      <c r="AI59" s="24"/>
      <c r="AJ59" s="115"/>
    </row>
    <row r="60" spans="1:36" x14ac:dyDescent="0.25">
      <c r="B60" s="66"/>
      <c r="C60" s="67"/>
      <c r="D60" s="67"/>
      <c r="E60" s="67"/>
      <c r="F60" s="67"/>
      <c r="G60" s="68"/>
      <c r="H60" s="68"/>
      <c r="I60" s="68"/>
      <c r="J60" s="68"/>
      <c r="K60" s="68"/>
      <c r="L60" s="61"/>
      <c r="M60" s="68"/>
      <c r="N60" s="61"/>
      <c r="P60" s="68"/>
      <c r="Q60" s="69"/>
      <c r="R60" s="19"/>
      <c r="S60" s="19"/>
      <c r="T60" s="19"/>
      <c r="U60" s="19"/>
      <c r="V60" s="19"/>
      <c r="W60" s="19"/>
      <c r="X60" s="347" t="s">
        <v>14</v>
      </c>
      <c r="Y60" s="348" t="s">
        <v>64</v>
      </c>
      <c r="Z60" s="349" t="s">
        <v>29</v>
      </c>
      <c r="AA60" s="350">
        <v>13</v>
      </c>
      <c r="AB60" s="367"/>
      <c r="AC60" s="357"/>
      <c r="AD60" s="353">
        <f>AD61+AD98+AD104+AD119</f>
        <v>220505.10000000003</v>
      </c>
      <c r="AE60" s="353">
        <f>AE61+AE98+AE104+AE119</f>
        <v>321377.10000000003</v>
      </c>
      <c r="AF60" s="468">
        <f>AF61+AF98+AF104+AF119</f>
        <v>190185.19999999998</v>
      </c>
      <c r="AG60" s="478">
        <f t="shared" si="1"/>
        <v>0.59178205292163</v>
      </c>
      <c r="AH60" s="24"/>
      <c r="AI60" s="24"/>
      <c r="AJ60" s="115"/>
    </row>
    <row r="61" spans="1:36" x14ac:dyDescent="0.25">
      <c r="A61" s="75"/>
      <c r="B61" s="66"/>
      <c r="C61" s="67"/>
      <c r="D61" s="67"/>
      <c r="E61" s="14"/>
      <c r="F61" s="67"/>
      <c r="G61" s="67"/>
      <c r="L61" s="61"/>
      <c r="N61" s="61"/>
      <c r="Q61" s="69"/>
      <c r="R61" s="19"/>
      <c r="S61" s="19"/>
      <c r="T61" s="19"/>
      <c r="U61" s="19"/>
      <c r="V61" s="19"/>
      <c r="X61" s="354" t="s">
        <v>187</v>
      </c>
      <c r="Y61" s="348" t="s">
        <v>64</v>
      </c>
      <c r="Z61" s="349" t="s">
        <v>29</v>
      </c>
      <c r="AA61" s="350">
        <v>13</v>
      </c>
      <c r="AB61" s="355" t="s">
        <v>113</v>
      </c>
      <c r="AC61" s="357"/>
      <c r="AD61" s="353">
        <f>AD62+AD77</f>
        <v>136021.1</v>
      </c>
      <c r="AE61" s="353">
        <f>AE62+AE77</f>
        <v>136021.1</v>
      </c>
      <c r="AF61" s="468">
        <f>AF62+AF77</f>
        <v>135701.29999999999</v>
      </c>
      <c r="AG61" s="478">
        <f t="shared" ref="AG61:AG124" si="18">AF61/AE61</f>
        <v>0.99764889417891767</v>
      </c>
      <c r="AH61" s="24"/>
      <c r="AI61" s="24"/>
      <c r="AJ61" s="115"/>
    </row>
    <row r="62" spans="1:36" x14ac:dyDescent="0.25">
      <c r="A62" s="75"/>
      <c r="B62" s="66"/>
      <c r="C62" s="67"/>
      <c r="D62" s="67"/>
      <c r="E62" s="14"/>
      <c r="F62" s="67"/>
      <c r="G62" s="67"/>
      <c r="L62" s="61"/>
      <c r="N62" s="61"/>
      <c r="Q62" s="69"/>
      <c r="R62" s="19"/>
      <c r="S62" s="19"/>
      <c r="T62" s="19"/>
      <c r="U62" s="19"/>
      <c r="V62" s="19"/>
      <c r="X62" s="369" t="s">
        <v>568</v>
      </c>
      <c r="Y62" s="348" t="s">
        <v>64</v>
      </c>
      <c r="Z62" s="349" t="s">
        <v>29</v>
      </c>
      <c r="AA62" s="350">
        <v>13</v>
      </c>
      <c r="AB62" s="355" t="s">
        <v>114</v>
      </c>
      <c r="AC62" s="357"/>
      <c r="AD62" s="353">
        <f>AD63+AD71</f>
        <v>18351.399999999998</v>
      </c>
      <c r="AE62" s="353">
        <f>AE63+AE71</f>
        <v>18351.399999999998</v>
      </c>
      <c r="AF62" s="468">
        <f>AF63+AF71</f>
        <v>18325</v>
      </c>
      <c r="AG62" s="478">
        <f t="shared" si="18"/>
        <v>0.9985614176575085</v>
      </c>
      <c r="AH62" s="24"/>
      <c r="AI62" s="24"/>
      <c r="AJ62" s="115"/>
    </row>
    <row r="63" spans="1:36" ht="31.5" x14ac:dyDescent="0.25">
      <c r="A63" s="75"/>
      <c r="B63" s="66"/>
      <c r="C63" s="67"/>
      <c r="D63" s="67"/>
      <c r="E63" s="14"/>
      <c r="F63" s="67"/>
      <c r="G63" s="67"/>
      <c r="L63" s="61"/>
      <c r="N63" s="61"/>
      <c r="Q63" s="69"/>
      <c r="R63" s="19"/>
      <c r="S63" s="19"/>
      <c r="T63" s="19"/>
      <c r="U63" s="19"/>
      <c r="V63" s="19"/>
      <c r="X63" s="368" t="s">
        <v>183</v>
      </c>
      <c r="Y63" s="348" t="s">
        <v>64</v>
      </c>
      <c r="Z63" s="349" t="s">
        <v>29</v>
      </c>
      <c r="AA63" s="350">
        <v>13</v>
      </c>
      <c r="AB63" s="355" t="s">
        <v>184</v>
      </c>
      <c r="AC63" s="357"/>
      <c r="AD63" s="353">
        <f>AD64</f>
        <v>18046.8</v>
      </c>
      <c r="AE63" s="353">
        <f>AE64</f>
        <v>18046.8</v>
      </c>
      <c r="AF63" s="468">
        <f>AF64</f>
        <v>18041</v>
      </c>
      <c r="AG63" s="478">
        <f t="shared" si="18"/>
        <v>0.99967861338298203</v>
      </c>
      <c r="AH63" s="24"/>
      <c r="AI63" s="24"/>
      <c r="AJ63" s="115"/>
    </row>
    <row r="64" spans="1:36" ht="31.5" x14ac:dyDescent="0.25">
      <c r="A64" s="75"/>
      <c r="B64" s="66"/>
      <c r="C64" s="67"/>
      <c r="D64" s="67"/>
      <c r="E64" s="14"/>
      <c r="F64" s="67"/>
      <c r="G64" s="67"/>
      <c r="L64" s="61"/>
      <c r="N64" s="61"/>
      <c r="Q64" s="69"/>
      <c r="R64" s="19"/>
      <c r="S64" s="19"/>
      <c r="T64" s="19"/>
      <c r="U64" s="19"/>
      <c r="V64" s="19"/>
      <c r="X64" s="368" t="s">
        <v>185</v>
      </c>
      <c r="Y64" s="348" t="s">
        <v>64</v>
      </c>
      <c r="Z64" s="349" t="s">
        <v>29</v>
      </c>
      <c r="AA64" s="350">
        <v>13</v>
      </c>
      <c r="AB64" s="355" t="s">
        <v>186</v>
      </c>
      <c r="AC64" s="352"/>
      <c r="AD64" s="353">
        <f>AD69+AD67+AD65</f>
        <v>18046.8</v>
      </c>
      <c r="AE64" s="353">
        <f>AE69+AE67+AE65</f>
        <v>18046.8</v>
      </c>
      <c r="AF64" s="468">
        <f t="shared" ref="AF64" si="19">AF69+AF67+AF65</f>
        <v>18041</v>
      </c>
      <c r="AG64" s="478">
        <f t="shared" si="18"/>
        <v>0.99967861338298203</v>
      </c>
      <c r="AH64" s="24"/>
      <c r="AI64" s="24"/>
      <c r="AJ64" s="115"/>
    </row>
    <row r="65" spans="1:36" x14ac:dyDescent="0.25">
      <c r="A65" s="75"/>
      <c r="B65" s="66"/>
      <c r="C65" s="67"/>
      <c r="D65" s="67"/>
      <c r="E65" s="14"/>
      <c r="F65" s="67"/>
      <c r="G65" s="67"/>
      <c r="L65" s="61"/>
      <c r="N65" s="61"/>
      <c r="Q65" s="69"/>
      <c r="R65" s="19"/>
      <c r="S65" s="19"/>
      <c r="T65" s="19"/>
      <c r="U65" s="19"/>
      <c r="V65" s="19"/>
      <c r="X65" s="358" t="s">
        <v>121</v>
      </c>
      <c r="Y65" s="348" t="s">
        <v>64</v>
      </c>
      <c r="Z65" s="349" t="s">
        <v>29</v>
      </c>
      <c r="AA65" s="350">
        <v>13</v>
      </c>
      <c r="AB65" s="355" t="s">
        <v>186</v>
      </c>
      <c r="AC65" s="370">
        <v>200</v>
      </c>
      <c r="AD65" s="353">
        <f>AD66</f>
        <v>41.8</v>
      </c>
      <c r="AE65" s="353">
        <f>AE66</f>
        <v>41.8</v>
      </c>
      <c r="AF65" s="468">
        <f t="shared" ref="AF65" si="20">AF66</f>
        <v>41.8</v>
      </c>
      <c r="AG65" s="478">
        <f t="shared" si="18"/>
        <v>1</v>
      </c>
      <c r="AH65" s="24"/>
      <c r="AI65" s="24"/>
      <c r="AJ65" s="115"/>
    </row>
    <row r="66" spans="1:36" ht="31.5" x14ac:dyDescent="0.25">
      <c r="A66" s="75"/>
      <c r="B66" s="66"/>
      <c r="C66" s="67"/>
      <c r="D66" s="67"/>
      <c r="E66" s="14"/>
      <c r="F66" s="67"/>
      <c r="G66" s="67"/>
      <c r="L66" s="61"/>
      <c r="N66" s="61"/>
      <c r="Q66" s="69"/>
      <c r="R66" s="19"/>
      <c r="S66" s="19"/>
      <c r="T66" s="19"/>
      <c r="U66" s="19"/>
      <c r="V66" s="19"/>
      <c r="X66" s="358" t="s">
        <v>52</v>
      </c>
      <c r="Y66" s="348" t="s">
        <v>64</v>
      </c>
      <c r="Z66" s="349" t="s">
        <v>29</v>
      </c>
      <c r="AA66" s="350">
        <v>13</v>
      </c>
      <c r="AB66" s="355" t="s">
        <v>186</v>
      </c>
      <c r="AC66" s="370">
        <v>240</v>
      </c>
      <c r="AD66" s="353">
        <v>41.8</v>
      </c>
      <c r="AE66" s="353">
        <v>41.8</v>
      </c>
      <c r="AF66" s="468">
        <v>41.8</v>
      </c>
      <c r="AG66" s="478">
        <f t="shared" si="18"/>
        <v>1</v>
      </c>
      <c r="AH66" s="24"/>
      <c r="AI66" s="24"/>
      <c r="AJ66" s="115"/>
    </row>
    <row r="67" spans="1:36" x14ac:dyDescent="0.25">
      <c r="A67" s="75"/>
      <c r="B67" s="66"/>
      <c r="C67" s="67"/>
      <c r="D67" s="67"/>
      <c r="E67" s="14"/>
      <c r="F67" s="67"/>
      <c r="G67" s="67"/>
      <c r="L67" s="61"/>
      <c r="N67" s="61"/>
      <c r="Q67" s="69"/>
      <c r="R67" s="19"/>
      <c r="S67" s="19"/>
      <c r="T67" s="19"/>
      <c r="U67" s="19"/>
      <c r="V67" s="19"/>
      <c r="X67" s="347" t="s">
        <v>98</v>
      </c>
      <c r="Y67" s="348" t="s">
        <v>64</v>
      </c>
      <c r="Z67" s="349" t="s">
        <v>29</v>
      </c>
      <c r="AA67" s="350">
        <v>13</v>
      </c>
      <c r="AB67" s="355" t="s">
        <v>186</v>
      </c>
      <c r="AC67" s="357">
        <v>300</v>
      </c>
      <c r="AD67" s="353">
        <f>AD68</f>
        <v>2117.3999999999996</v>
      </c>
      <c r="AE67" s="353">
        <f>AE68</f>
        <v>2117.3999999999996</v>
      </c>
      <c r="AF67" s="468">
        <f>AF68</f>
        <v>2111.6</v>
      </c>
      <c r="AG67" s="478">
        <f t="shared" si="18"/>
        <v>0.99726079153679048</v>
      </c>
      <c r="AH67" s="24"/>
      <c r="AI67" s="24"/>
      <c r="AJ67" s="115"/>
    </row>
    <row r="68" spans="1:36" x14ac:dyDescent="0.25">
      <c r="A68" s="75"/>
      <c r="B68" s="66"/>
      <c r="C68" s="67"/>
      <c r="D68" s="67"/>
      <c r="E68" s="14"/>
      <c r="F68" s="67"/>
      <c r="G68" s="67"/>
      <c r="L68" s="61"/>
      <c r="N68" s="61"/>
      <c r="Q68" s="69"/>
      <c r="R68" s="19"/>
      <c r="S68" s="19"/>
      <c r="T68" s="19"/>
      <c r="U68" s="19"/>
      <c r="V68" s="19"/>
      <c r="X68" s="347" t="s">
        <v>447</v>
      </c>
      <c r="Y68" s="348" t="s">
        <v>64</v>
      </c>
      <c r="Z68" s="349" t="s">
        <v>29</v>
      </c>
      <c r="AA68" s="350">
        <v>13</v>
      </c>
      <c r="AB68" s="355" t="s">
        <v>186</v>
      </c>
      <c r="AC68" s="357">
        <v>360</v>
      </c>
      <c r="AD68" s="353">
        <f>2279.2-41.8-120</f>
        <v>2117.3999999999996</v>
      </c>
      <c r="AE68" s="353">
        <f>2279.2-41.8-120</f>
        <v>2117.3999999999996</v>
      </c>
      <c r="AF68" s="468">
        <v>2111.6</v>
      </c>
      <c r="AG68" s="478">
        <f t="shared" si="18"/>
        <v>0.99726079153679048</v>
      </c>
      <c r="AH68" s="24"/>
      <c r="AI68" s="24"/>
      <c r="AJ68" s="115"/>
    </row>
    <row r="69" spans="1:36" ht="31.5" x14ac:dyDescent="0.25">
      <c r="A69" s="75"/>
      <c r="B69" s="66"/>
      <c r="C69" s="67"/>
      <c r="D69" s="67"/>
      <c r="E69" s="14"/>
      <c r="F69" s="67"/>
      <c r="G69" s="67"/>
      <c r="L69" s="61"/>
      <c r="N69" s="61"/>
      <c r="Q69" s="69"/>
      <c r="R69" s="19"/>
      <c r="S69" s="19"/>
      <c r="T69" s="19"/>
      <c r="U69" s="19"/>
      <c r="V69" s="19"/>
      <c r="X69" s="347" t="s">
        <v>61</v>
      </c>
      <c r="Y69" s="348" t="s">
        <v>64</v>
      </c>
      <c r="Z69" s="349" t="s">
        <v>29</v>
      </c>
      <c r="AA69" s="350">
        <v>13</v>
      </c>
      <c r="AB69" s="355" t="s">
        <v>186</v>
      </c>
      <c r="AC69" s="357">
        <v>600</v>
      </c>
      <c r="AD69" s="353">
        <f>AD70</f>
        <v>15887.6</v>
      </c>
      <c r="AE69" s="353">
        <f>AE70</f>
        <v>15887.6</v>
      </c>
      <c r="AF69" s="468">
        <f>AF70</f>
        <v>15887.6</v>
      </c>
      <c r="AG69" s="478">
        <f t="shared" si="18"/>
        <v>1</v>
      </c>
      <c r="AH69" s="24"/>
      <c r="AI69" s="24"/>
      <c r="AJ69" s="115"/>
    </row>
    <row r="70" spans="1:36" x14ac:dyDescent="0.25">
      <c r="A70" s="75"/>
      <c r="B70" s="66"/>
      <c r="C70" s="67"/>
      <c r="D70" s="67"/>
      <c r="E70" s="14"/>
      <c r="F70" s="67"/>
      <c r="G70" s="67"/>
      <c r="L70" s="61"/>
      <c r="N70" s="61"/>
      <c r="Q70" s="69"/>
      <c r="R70" s="19"/>
      <c r="S70" s="19"/>
      <c r="T70" s="19"/>
      <c r="U70" s="19"/>
      <c r="V70" s="19"/>
      <c r="X70" s="347" t="s">
        <v>62</v>
      </c>
      <c r="Y70" s="348" t="s">
        <v>64</v>
      </c>
      <c r="Z70" s="349" t="s">
        <v>29</v>
      </c>
      <c r="AA70" s="350">
        <v>13</v>
      </c>
      <c r="AB70" s="355" t="s">
        <v>186</v>
      </c>
      <c r="AC70" s="357">
        <v>610</v>
      </c>
      <c r="AD70" s="353">
        <f>10690.1+5000-275+472.5</f>
        <v>15887.6</v>
      </c>
      <c r="AE70" s="353">
        <f>10690.1+5000-275+472.5</f>
        <v>15887.6</v>
      </c>
      <c r="AF70" s="468">
        <v>15887.6</v>
      </c>
      <c r="AG70" s="478">
        <f t="shared" si="18"/>
        <v>1</v>
      </c>
      <c r="AH70" s="24"/>
      <c r="AI70" s="24"/>
      <c r="AJ70" s="115"/>
    </row>
    <row r="71" spans="1:36" ht="31.5" x14ac:dyDescent="0.25">
      <c r="A71" s="75"/>
      <c r="B71" s="66"/>
      <c r="C71" s="67"/>
      <c r="D71" s="67"/>
      <c r="E71" s="14"/>
      <c r="F71" s="67"/>
      <c r="G71" s="67"/>
      <c r="L71" s="61"/>
      <c r="N71" s="61"/>
      <c r="Q71" s="69"/>
      <c r="R71" s="19"/>
      <c r="S71" s="19"/>
      <c r="T71" s="19"/>
      <c r="U71" s="19"/>
      <c r="V71" s="19"/>
      <c r="X71" s="368" t="s">
        <v>188</v>
      </c>
      <c r="Y71" s="348" t="s">
        <v>64</v>
      </c>
      <c r="Z71" s="349" t="s">
        <v>29</v>
      </c>
      <c r="AA71" s="350">
        <v>13</v>
      </c>
      <c r="AB71" s="355" t="s">
        <v>189</v>
      </c>
      <c r="AC71" s="370"/>
      <c r="AD71" s="353">
        <f>AD72</f>
        <v>304.60000000000002</v>
      </c>
      <c r="AE71" s="353">
        <f>AE72</f>
        <v>304.60000000000002</v>
      </c>
      <c r="AF71" s="468">
        <f>AF72</f>
        <v>284</v>
      </c>
      <c r="AG71" s="478">
        <f t="shared" si="18"/>
        <v>0.93237032173342083</v>
      </c>
      <c r="AH71" s="24"/>
      <c r="AI71" s="24"/>
      <c r="AJ71" s="115"/>
    </row>
    <row r="72" spans="1:36" ht="47.25" x14ac:dyDescent="0.25">
      <c r="A72" s="75"/>
      <c r="B72" s="66"/>
      <c r="C72" s="67"/>
      <c r="D72" s="67"/>
      <c r="E72" s="14"/>
      <c r="F72" s="67"/>
      <c r="G72" s="67"/>
      <c r="L72" s="61"/>
      <c r="N72" s="61"/>
      <c r="Q72" s="69"/>
      <c r="R72" s="19"/>
      <c r="S72" s="19"/>
      <c r="T72" s="19"/>
      <c r="U72" s="19"/>
      <c r="V72" s="19"/>
      <c r="X72" s="368" t="s">
        <v>663</v>
      </c>
      <c r="Y72" s="348" t="s">
        <v>64</v>
      </c>
      <c r="Z72" s="349" t="s">
        <v>29</v>
      </c>
      <c r="AA72" s="350">
        <v>13</v>
      </c>
      <c r="AB72" s="355" t="s">
        <v>662</v>
      </c>
      <c r="AC72" s="370"/>
      <c r="AD72" s="353">
        <f>AD73+AD75</f>
        <v>304.60000000000002</v>
      </c>
      <c r="AE72" s="353">
        <f>AE73+AE75</f>
        <v>304.60000000000002</v>
      </c>
      <c r="AF72" s="468">
        <f>AF73+AF75</f>
        <v>284</v>
      </c>
      <c r="AG72" s="478">
        <f t="shared" si="18"/>
        <v>0.93237032173342083</v>
      </c>
      <c r="AH72" s="24"/>
      <c r="AI72" s="24"/>
      <c r="AJ72" s="115"/>
    </row>
    <row r="73" spans="1:36" ht="47.25" x14ac:dyDescent="0.25">
      <c r="A73" s="75"/>
      <c r="B73" s="66"/>
      <c r="C73" s="67"/>
      <c r="D73" s="67"/>
      <c r="E73" s="14"/>
      <c r="F73" s="67"/>
      <c r="G73" s="67"/>
      <c r="L73" s="61"/>
      <c r="N73" s="61"/>
      <c r="Q73" s="69"/>
      <c r="R73" s="19"/>
      <c r="S73" s="19"/>
      <c r="T73" s="19"/>
      <c r="U73" s="19"/>
      <c r="V73" s="19"/>
      <c r="X73" s="347" t="s">
        <v>41</v>
      </c>
      <c r="Y73" s="348" t="s">
        <v>64</v>
      </c>
      <c r="Z73" s="349" t="s">
        <v>29</v>
      </c>
      <c r="AA73" s="350">
        <v>13</v>
      </c>
      <c r="AB73" s="355" t="s">
        <v>662</v>
      </c>
      <c r="AC73" s="370">
        <v>100</v>
      </c>
      <c r="AD73" s="353">
        <f>AD74</f>
        <v>284</v>
      </c>
      <c r="AE73" s="353">
        <f>AE74</f>
        <v>284</v>
      </c>
      <c r="AF73" s="468">
        <f>AF74</f>
        <v>284</v>
      </c>
      <c r="AG73" s="478">
        <f t="shared" si="18"/>
        <v>1</v>
      </c>
      <c r="AH73" s="24"/>
      <c r="AI73" s="24"/>
      <c r="AJ73" s="115"/>
    </row>
    <row r="74" spans="1:36" x14ac:dyDescent="0.25">
      <c r="A74" s="75"/>
      <c r="B74" s="66"/>
      <c r="C74" s="67"/>
      <c r="D74" s="67"/>
      <c r="E74" s="14"/>
      <c r="F74" s="67"/>
      <c r="G74" s="67"/>
      <c r="L74" s="61"/>
      <c r="N74" s="61"/>
      <c r="Q74" s="69"/>
      <c r="R74" s="19"/>
      <c r="S74" s="19"/>
      <c r="T74" s="19"/>
      <c r="U74" s="19"/>
      <c r="V74" s="19"/>
      <c r="X74" s="358" t="s">
        <v>97</v>
      </c>
      <c r="Y74" s="348" t="s">
        <v>64</v>
      </c>
      <c r="Z74" s="349" t="s">
        <v>29</v>
      </c>
      <c r="AA74" s="350">
        <v>13</v>
      </c>
      <c r="AB74" s="355" t="s">
        <v>662</v>
      </c>
      <c r="AC74" s="370">
        <v>120</v>
      </c>
      <c r="AD74" s="353">
        <v>284</v>
      </c>
      <c r="AE74" s="353">
        <v>284</v>
      </c>
      <c r="AF74" s="468">
        <v>284</v>
      </c>
      <c r="AG74" s="478">
        <f t="shared" si="18"/>
        <v>1</v>
      </c>
      <c r="AH74" s="24"/>
      <c r="AI74" s="24"/>
      <c r="AJ74" s="115"/>
    </row>
    <row r="75" spans="1:36" x14ac:dyDescent="0.25">
      <c r="A75" s="75"/>
      <c r="B75" s="66"/>
      <c r="C75" s="67"/>
      <c r="D75" s="67"/>
      <c r="E75" s="14"/>
      <c r="F75" s="67"/>
      <c r="G75" s="67"/>
      <c r="L75" s="61"/>
      <c r="N75" s="61"/>
      <c r="Q75" s="69"/>
      <c r="R75" s="19"/>
      <c r="S75" s="19"/>
      <c r="T75" s="19"/>
      <c r="U75" s="19"/>
      <c r="V75" s="19"/>
      <c r="X75" s="358" t="s">
        <v>121</v>
      </c>
      <c r="Y75" s="348" t="s">
        <v>64</v>
      </c>
      <c r="Z75" s="349" t="s">
        <v>29</v>
      </c>
      <c r="AA75" s="350">
        <v>13</v>
      </c>
      <c r="AB75" s="355" t="s">
        <v>662</v>
      </c>
      <c r="AC75" s="370">
        <v>200</v>
      </c>
      <c r="AD75" s="353">
        <f>AD76</f>
        <v>20.6</v>
      </c>
      <c r="AE75" s="353">
        <f>AE76</f>
        <v>20.6</v>
      </c>
      <c r="AF75" s="468">
        <f>AF76</f>
        <v>0</v>
      </c>
      <c r="AG75" s="478">
        <f t="shared" si="18"/>
        <v>0</v>
      </c>
      <c r="AH75" s="24"/>
      <c r="AI75" s="24"/>
      <c r="AJ75" s="115"/>
    </row>
    <row r="76" spans="1:36" ht="31.5" x14ac:dyDescent="0.25">
      <c r="A76" s="75"/>
      <c r="B76" s="66"/>
      <c r="C76" s="67"/>
      <c r="D76" s="67"/>
      <c r="E76" s="14"/>
      <c r="F76" s="67"/>
      <c r="G76" s="67"/>
      <c r="L76" s="61"/>
      <c r="N76" s="61"/>
      <c r="Q76" s="69"/>
      <c r="R76" s="19"/>
      <c r="S76" s="19"/>
      <c r="T76" s="19"/>
      <c r="U76" s="19"/>
      <c r="V76" s="19"/>
      <c r="X76" s="358" t="s">
        <v>52</v>
      </c>
      <c r="Y76" s="348" t="s">
        <v>64</v>
      </c>
      <c r="Z76" s="349" t="s">
        <v>29</v>
      </c>
      <c r="AA76" s="350">
        <v>13</v>
      </c>
      <c r="AB76" s="355" t="s">
        <v>662</v>
      </c>
      <c r="AC76" s="370">
        <v>240</v>
      </c>
      <c r="AD76" s="353">
        <v>20.6</v>
      </c>
      <c r="AE76" s="353">
        <v>20.6</v>
      </c>
      <c r="AF76" s="468">
        <v>0</v>
      </c>
      <c r="AG76" s="478">
        <f t="shared" si="18"/>
        <v>0</v>
      </c>
      <c r="AH76" s="24"/>
      <c r="AI76" s="24"/>
      <c r="AJ76" s="115"/>
    </row>
    <row r="77" spans="1:36" x14ac:dyDescent="0.25">
      <c r="A77" s="75"/>
      <c r="B77" s="66"/>
      <c r="C77" s="67"/>
      <c r="D77" s="67"/>
      <c r="E77" s="14"/>
      <c r="F77" s="67"/>
      <c r="G77" s="67"/>
      <c r="L77" s="61"/>
      <c r="N77" s="61"/>
      <c r="Q77" s="69"/>
      <c r="R77" s="19"/>
      <c r="S77" s="19"/>
      <c r="T77" s="19"/>
      <c r="U77" s="19"/>
      <c r="V77" s="19"/>
      <c r="X77" s="358" t="s">
        <v>729</v>
      </c>
      <c r="Y77" s="348" t="s">
        <v>64</v>
      </c>
      <c r="Z77" s="349" t="s">
        <v>29</v>
      </c>
      <c r="AA77" s="350">
        <v>13</v>
      </c>
      <c r="AB77" s="355" t="s">
        <v>192</v>
      </c>
      <c r="AC77" s="370"/>
      <c r="AD77" s="353">
        <f>AD78</f>
        <v>117669.70000000001</v>
      </c>
      <c r="AE77" s="353">
        <f>AE78</f>
        <v>117669.70000000001</v>
      </c>
      <c r="AF77" s="468">
        <f>AF78</f>
        <v>117376.29999999999</v>
      </c>
      <c r="AG77" s="478">
        <f t="shared" si="18"/>
        <v>0.99750657985870594</v>
      </c>
      <c r="AH77" s="24"/>
      <c r="AI77" s="24"/>
      <c r="AJ77" s="115"/>
    </row>
    <row r="78" spans="1:36" ht="31.5" x14ac:dyDescent="0.25">
      <c r="A78" s="75"/>
      <c r="B78" s="66"/>
      <c r="C78" s="67"/>
      <c r="D78" s="67"/>
      <c r="E78" s="14"/>
      <c r="F78" s="67"/>
      <c r="G78" s="67"/>
      <c r="L78" s="61"/>
      <c r="N78" s="61"/>
      <c r="Q78" s="69"/>
      <c r="R78" s="19"/>
      <c r="S78" s="19"/>
      <c r="T78" s="19"/>
      <c r="U78" s="19"/>
      <c r="V78" s="19"/>
      <c r="X78" s="354" t="s">
        <v>193</v>
      </c>
      <c r="Y78" s="348" t="s">
        <v>64</v>
      </c>
      <c r="Z78" s="349" t="s">
        <v>29</v>
      </c>
      <c r="AA78" s="350">
        <v>13</v>
      </c>
      <c r="AB78" s="355" t="s">
        <v>194</v>
      </c>
      <c r="AC78" s="357"/>
      <c r="AD78" s="353">
        <f>AD79+AD82+AD87</f>
        <v>117669.70000000001</v>
      </c>
      <c r="AE78" s="353">
        <f>AE79+AE82+AE87</f>
        <v>117669.70000000001</v>
      </c>
      <c r="AF78" s="468">
        <f>AF79+AF82+AF87</f>
        <v>117376.29999999999</v>
      </c>
      <c r="AG78" s="478">
        <f t="shared" si="18"/>
        <v>0.99750657985870594</v>
      </c>
      <c r="AH78" s="24"/>
      <c r="AI78" s="24"/>
      <c r="AJ78" s="115"/>
    </row>
    <row r="79" spans="1:36" x14ac:dyDescent="0.25">
      <c r="A79" s="72"/>
      <c r="B79" s="66"/>
      <c r="C79" s="67"/>
      <c r="D79" s="67"/>
      <c r="E79" s="14"/>
      <c r="F79" s="67"/>
      <c r="G79" s="68"/>
      <c r="H79" s="68"/>
      <c r="I79" s="68"/>
      <c r="J79" s="68"/>
      <c r="K79" s="68"/>
      <c r="L79" s="61"/>
      <c r="M79" s="68"/>
      <c r="N79" s="61"/>
      <c r="P79" s="68"/>
      <c r="Q79" s="69"/>
      <c r="R79" s="19"/>
      <c r="S79" s="19"/>
      <c r="T79" s="19"/>
      <c r="U79" s="19"/>
      <c r="V79" s="19"/>
      <c r="W79" s="19"/>
      <c r="X79" s="368" t="s">
        <v>225</v>
      </c>
      <c r="Y79" s="371" t="s">
        <v>64</v>
      </c>
      <c r="Z79" s="349" t="s">
        <v>29</v>
      </c>
      <c r="AA79" s="350">
        <v>13</v>
      </c>
      <c r="AB79" s="363" t="s">
        <v>226</v>
      </c>
      <c r="AC79" s="357"/>
      <c r="AD79" s="353">
        <f>AD81</f>
        <v>137.5</v>
      </c>
      <c r="AE79" s="353">
        <f>AE81</f>
        <v>137.5</v>
      </c>
      <c r="AF79" s="468">
        <f>AF81</f>
        <v>137.5</v>
      </c>
      <c r="AG79" s="478">
        <f t="shared" si="18"/>
        <v>1</v>
      </c>
      <c r="AH79" s="24"/>
      <c r="AI79" s="24"/>
      <c r="AJ79" s="115"/>
    </row>
    <row r="80" spans="1:36" x14ac:dyDescent="0.25">
      <c r="A80" s="72"/>
      <c r="B80" s="66"/>
      <c r="C80" s="67"/>
      <c r="D80" s="67"/>
      <c r="E80" s="14"/>
      <c r="F80" s="67"/>
      <c r="G80" s="68"/>
      <c r="H80" s="68"/>
      <c r="I80" s="68"/>
      <c r="J80" s="68"/>
      <c r="K80" s="68"/>
      <c r="L80" s="61"/>
      <c r="M80" s="68"/>
      <c r="N80" s="61"/>
      <c r="P80" s="68"/>
      <c r="Q80" s="69"/>
      <c r="R80" s="19"/>
      <c r="S80" s="19"/>
      <c r="T80" s="19"/>
      <c r="U80" s="19"/>
      <c r="V80" s="19"/>
      <c r="W80" s="19"/>
      <c r="X80" s="347" t="s">
        <v>42</v>
      </c>
      <c r="Y80" s="348" t="s">
        <v>64</v>
      </c>
      <c r="Z80" s="349" t="s">
        <v>29</v>
      </c>
      <c r="AA80" s="350">
        <v>13</v>
      </c>
      <c r="AB80" s="363" t="s">
        <v>226</v>
      </c>
      <c r="AC80" s="357">
        <v>800</v>
      </c>
      <c r="AD80" s="353">
        <f>AD81</f>
        <v>137.5</v>
      </c>
      <c r="AE80" s="353">
        <f>AE81</f>
        <v>137.5</v>
      </c>
      <c r="AF80" s="468">
        <f>AF81</f>
        <v>137.5</v>
      </c>
      <c r="AG80" s="478">
        <f t="shared" si="18"/>
        <v>1</v>
      </c>
      <c r="AH80" s="24"/>
      <c r="AI80" s="24"/>
      <c r="AJ80" s="115"/>
    </row>
    <row r="81" spans="1:36" x14ac:dyDescent="0.25">
      <c r="A81" s="73"/>
      <c r="B81" s="66"/>
      <c r="C81" s="67"/>
      <c r="D81" s="67"/>
      <c r="E81" s="14"/>
      <c r="F81" s="67"/>
      <c r="G81" s="68"/>
      <c r="H81" s="3"/>
      <c r="L81" s="61"/>
      <c r="N81" s="61"/>
      <c r="P81" s="68"/>
      <c r="Q81" s="69"/>
      <c r="R81" s="19"/>
      <c r="S81" s="19"/>
      <c r="T81" s="19"/>
      <c r="U81" s="19"/>
      <c r="V81" s="19"/>
      <c r="X81" s="347" t="s">
        <v>58</v>
      </c>
      <c r="Y81" s="348" t="s">
        <v>64</v>
      </c>
      <c r="Z81" s="349" t="s">
        <v>29</v>
      </c>
      <c r="AA81" s="350">
        <v>13</v>
      </c>
      <c r="AB81" s="363" t="s">
        <v>226</v>
      </c>
      <c r="AC81" s="357">
        <v>850</v>
      </c>
      <c r="AD81" s="353">
        <f>145-7.5</f>
        <v>137.5</v>
      </c>
      <c r="AE81" s="353">
        <f>145-7.5</f>
        <v>137.5</v>
      </c>
      <c r="AF81" s="468">
        <v>137.5</v>
      </c>
      <c r="AG81" s="478">
        <f t="shared" si="18"/>
        <v>1</v>
      </c>
      <c r="AH81" s="24"/>
      <c r="AI81" s="24"/>
      <c r="AJ81" s="115"/>
    </row>
    <row r="82" spans="1:36" ht="30.6" customHeight="1" x14ac:dyDescent="0.25">
      <c r="A82" s="75"/>
      <c r="B82" s="66"/>
      <c r="C82" s="67"/>
      <c r="D82" s="67"/>
      <c r="E82" s="14"/>
      <c r="F82" s="67"/>
      <c r="G82" s="67"/>
      <c r="L82" s="61"/>
      <c r="N82" s="61"/>
      <c r="Q82" s="69"/>
      <c r="R82" s="19"/>
      <c r="S82" s="19"/>
      <c r="T82" s="19"/>
      <c r="U82" s="19"/>
      <c r="V82" s="19"/>
      <c r="X82" s="368" t="s">
        <v>593</v>
      </c>
      <c r="Y82" s="348" t="s">
        <v>64</v>
      </c>
      <c r="Z82" s="349" t="s">
        <v>29</v>
      </c>
      <c r="AA82" s="350">
        <v>13</v>
      </c>
      <c r="AB82" s="363" t="s">
        <v>592</v>
      </c>
      <c r="AC82" s="357"/>
      <c r="AD82" s="353">
        <f>AD83+AD85</f>
        <v>16676.599999999999</v>
      </c>
      <c r="AE82" s="353">
        <f>AE83+AE85</f>
        <v>16676.599999999999</v>
      </c>
      <c r="AF82" s="468">
        <f>AF83+AF85</f>
        <v>16607.599999999999</v>
      </c>
      <c r="AG82" s="478">
        <f t="shared" si="18"/>
        <v>0.99586246597028172</v>
      </c>
      <c r="AH82" s="24"/>
      <c r="AI82" s="24"/>
      <c r="AJ82" s="115"/>
    </row>
    <row r="83" spans="1:36" ht="47.25" x14ac:dyDescent="0.25">
      <c r="A83" s="75"/>
      <c r="B83" s="66"/>
      <c r="C83" s="67"/>
      <c r="D83" s="67"/>
      <c r="E83" s="14"/>
      <c r="F83" s="67"/>
      <c r="G83" s="67"/>
      <c r="L83" s="61"/>
      <c r="N83" s="61"/>
      <c r="Q83" s="69"/>
      <c r="R83" s="19"/>
      <c r="S83" s="19"/>
      <c r="T83" s="19"/>
      <c r="U83" s="19"/>
      <c r="V83" s="19"/>
      <c r="X83" s="347" t="s">
        <v>41</v>
      </c>
      <c r="Y83" s="348" t="s">
        <v>64</v>
      </c>
      <c r="Z83" s="349" t="s">
        <v>29</v>
      </c>
      <c r="AA83" s="350">
        <v>13</v>
      </c>
      <c r="AB83" s="363" t="s">
        <v>592</v>
      </c>
      <c r="AC83" s="372" t="s">
        <v>127</v>
      </c>
      <c r="AD83" s="353">
        <f>AD84</f>
        <v>15781</v>
      </c>
      <c r="AE83" s="353">
        <f>AE84</f>
        <v>15781</v>
      </c>
      <c r="AF83" s="468">
        <f>AF84</f>
        <v>15781</v>
      </c>
      <c r="AG83" s="478">
        <f t="shared" si="18"/>
        <v>1</v>
      </c>
      <c r="AH83" s="24"/>
      <c r="AI83" s="24"/>
      <c r="AJ83" s="115"/>
    </row>
    <row r="84" spans="1:36" x14ac:dyDescent="0.25">
      <c r="A84" s="75"/>
      <c r="B84" s="66"/>
      <c r="C84" s="67"/>
      <c r="D84" s="67"/>
      <c r="E84" s="14"/>
      <c r="F84" s="67"/>
      <c r="G84" s="67"/>
      <c r="L84" s="61"/>
      <c r="N84" s="61"/>
      <c r="Q84" s="69"/>
      <c r="R84" s="19"/>
      <c r="S84" s="19"/>
      <c r="T84" s="19"/>
      <c r="U84" s="19"/>
      <c r="V84" s="19"/>
      <c r="X84" s="347" t="s">
        <v>69</v>
      </c>
      <c r="Y84" s="348" t="s">
        <v>64</v>
      </c>
      <c r="Z84" s="349" t="s">
        <v>29</v>
      </c>
      <c r="AA84" s="350">
        <v>13</v>
      </c>
      <c r="AB84" s="363" t="s">
        <v>592</v>
      </c>
      <c r="AC84" s="372" t="s">
        <v>128</v>
      </c>
      <c r="AD84" s="353">
        <f>13407.7+898+142-63+1396.3</f>
        <v>15781</v>
      </c>
      <c r="AE84" s="353">
        <f>13407.7+898+142-63+1396.3</f>
        <v>15781</v>
      </c>
      <c r="AF84" s="468">
        <v>15781</v>
      </c>
      <c r="AG84" s="478">
        <f t="shared" si="18"/>
        <v>1</v>
      </c>
      <c r="AH84" s="24"/>
      <c r="AI84" s="24"/>
      <c r="AJ84" s="115"/>
    </row>
    <row r="85" spans="1:36" x14ac:dyDescent="0.25">
      <c r="A85" s="75"/>
      <c r="B85" s="66"/>
      <c r="C85" s="67"/>
      <c r="D85" s="67"/>
      <c r="E85" s="14"/>
      <c r="F85" s="67"/>
      <c r="G85" s="67"/>
      <c r="L85" s="61"/>
      <c r="N85" s="61"/>
      <c r="Q85" s="69"/>
      <c r="R85" s="19"/>
      <c r="S85" s="19"/>
      <c r="T85" s="19"/>
      <c r="U85" s="19"/>
      <c r="V85" s="19"/>
      <c r="X85" s="347" t="s">
        <v>121</v>
      </c>
      <c r="Y85" s="348" t="s">
        <v>64</v>
      </c>
      <c r="Z85" s="349" t="s">
        <v>29</v>
      </c>
      <c r="AA85" s="350">
        <v>13</v>
      </c>
      <c r="AB85" s="363" t="s">
        <v>592</v>
      </c>
      <c r="AC85" s="372" t="s">
        <v>37</v>
      </c>
      <c r="AD85" s="353">
        <f>AD86</f>
        <v>895.59999999999991</v>
      </c>
      <c r="AE85" s="353">
        <f>AE86</f>
        <v>895.59999999999991</v>
      </c>
      <c r="AF85" s="468">
        <f>AF86</f>
        <v>826.6</v>
      </c>
      <c r="AG85" s="478">
        <f t="shared" si="18"/>
        <v>0.92295667708798579</v>
      </c>
      <c r="AH85" s="24"/>
      <c r="AI85" s="24"/>
      <c r="AJ85" s="115"/>
    </row>
    <row r="86" spans="1:36" ht="31.5" x14ac:dyDescent="0.25">
      <c r="A86" s="75"/>
      <c r="B86" s="66"/>
      <c r="C86" s="67"/>
      <c r="D86" s="67"/>
      <c r="E86" s="14"/>
      <c r="F86" s="67"/>
      <c r="G86" s="67"/>
      <c r="L86" s="61"/>
      <c r="N86" s="61"/>
      <c r="Q86" s="69"/>
      <c r="R86" s="19"/>
      <c r="S86" s="19"/>
      <c r="T86" s="19"/>
      <c r="U86" s="19"/>
      <c r="V86" s="19"/>
      <c r="X86" s="347" t="s">
        <v>52</v>
      </c>
      <c r="Y86" s="348" t="s">
        <v>64</v>
      </c>
      <c r="Z86" s="349" t="s">
        <v>29</v>
      </c>
      <c r="AA86" s="350">
        <v>13</v>
      </c>
      <c r="AB86" s="363" t="s">
        <v>592</v>
      </c>
      <c r="AC86" s="372" t="s">
        <v>66</v>
      </c>
      <c r="AD86" s="353">
        <f>887.6+150-142</f>
        <v>895.59999999999991</v>
      </c>
      <c r="AE86" s="353">
        <f>887.6+150-142</f>
        <v>895.59999999999991</v>
      </c>
      <c r="AF86" s="468">
        <v>826.6</v>
      </c>
      <c r="AG86" s="478">
        <f t="shared" si="18"/>
        <v>0.92295667708798579</v>
      </c>
      <c r="AH86" s="24"/>
      <c r="AI86" s="24"/>
      <c r="AJ86" s="115"/>
    </row>
    <row r="87" spans="1:36" ht="31.5" x14ac:dyDescent="0.25">
      <c r="A87" s="75"/>
      <c r="B87" s="66"/>
      <c r="C87" s="67"/>
      <c r="D87" s="67"/>
      <c r="E87" s="14"/>
      <c r="F87" s="67"/>
      <c r="G87" s="67"/>
      <c r="L87" s="61"/>
      <c r="N87" s="61"/>
      <c r="Q87" s="69"/>
      <c r="R87" s="19"/>
      <c r="S87" s="19"/>
      <c r="T87" s="19"/>
      <c r="U87" s="19"/>
      <c r="V87" s="19"/>
      <c r="X87" s="368" t="s">
        <v>205</v>
      </c>
      <c r="Y87" s="348" t="s">
        <v>64</v>
      </c>
      <c r="Z87" s="349" t="s">
        <v>29</v>
      </c>
      <c r="AA87" s="350">
        <v>13</v>
      </c>
      <c r="AB87" s="363" t="s">
        <v>206</v>
      </c>
      <c r="AC87" s="357"/>
      <c r="AD87" s="353">
        <f>AD88+AD93</f>
        <v>100855.6</v>
      </c>
      <c r="AE87" s="353">
        <f>AE88+AE93</f>
        <v>100855.6</v>
      </c>
      <c r="AF87" s="480">
        <f>AF88+AF93</f>
        <v>100631.2</v>
      </c>
      <c r="AG87" s="478">
        <f t="shared" si="18"/>
        <v>0.99777503678526513</v>
      </c>
      <c r="AH87" s="24"/>
      <c r="AI87" s="24"/>
      <c r="AJ87" s="115"/>
    </row>
    <row r="88" spans="1:36" ht="47.25" x14ac:dyDescent="0.25">
      <c r="A88" s="75"/>
      <c r="B88" s="66"/>
      <c r="C88" s="67"/>
      <c r="D88" s="67"/>
      <c r="E88" s="14"/>
      <c r="F88" s="67"/>
      <c r="G88" s="67"/>
      <c r="L88" s="61"/>
      <c r="N88" s="61"/>
      <c r="Q88" s="69"/>
      <c r="R88" s="19"/>
      <c r="S88" s="19"/>
      <c r="T88" s="19"/>
      <c r="U88" s="19"/>
      <c r="V88" s="19"/>
      <c r="X88" s="347" t="s">
        <v>221</v>
      </c>
      <c r="Y88" s="348" t="s">
        <v>64</v>
      </c>
      <c r="Z88" s="349" t="s">
        <v>29</v>
      </c>
      <c r="AA88" s="350">
        <v>13</v>
      </c>
      <c r="AB88" s="363" t="s">
        <v>222</v>
      </c>
      <c r="AC88" s="372"/>
      <c r="AD88" s="353">
        <f>AD89+AD91</f>
        <v>81002.3</v>
      </c>
      <c r="AE88" s="353">
        <f>AE89+AE91</f>
        <v>81002.3</v>
      </c>
      <c r="AF88" s="468">
        <f>AF89+AF91</f>
        <v>80965</v>
      </c>
      <c r="AG88" s="478">
        <f t="shared" si="18"/>
        <v>0.99953951924821882</v>
      </c>
      <c r="AH88" s="24"/>
      <c r="AI88" s="24"/>
      <c r="AJ88" s="115"/>
    </row>
    <row r="89" spans="1:36" ht="47.25" x14ac:dyDescent="0.25">
      <c r="A89" s="75"/>
      <c r="B89" s="66"/>
      <c r="C89" s="67"/>
      <c r="D89" s="67"/>
      <c r="E89" s="14"/>
      <c r="F89" s="67"/>
      <c r="G89" s="67"/>
      <c r="L89" s="61"/>
      <c r="N89" s="61"/>
      <c r="Q89" s="69"/>
      <c r="R89" s="19"/>
      <c r="S89" s="19"/>
      <c r="T89" s="19"/>
      <c r="U89" s="19"/>
      <c r="V89" s="19"/>
      <c r="X89" s="347" t="s">
        <v>41</v>
      </c>
      <c r="Y89" s="348" t="s">
        <v>64</v>
      </c>
      <c r="Z89" s="349" t="s">
        <v>29</v>
      </c>
      <c r="AA89" s="350">
        <v>13</v>
      </c>
      <c r="AB89" s="363" t="s">
        <v>222</v>
      </c>
      <c r="AC89" s="372" t="s">
        <v>127</v>
      </c>
      <c r="AD89" s="353">
        <f>AD90</f>
        <v>80301.3</v>
      </c>
      <c r="AE89" s="353">
        <f>AE90</f>
        <v>80301.3</v>
      </c>
      <c r="AF89" s="468">
        <f>AF90</f>
        <v>80291.399999999994</v>
      </c>
      <c r="AG89" s="478">
        <f t="shared" si="18"/>
        <v>0.99987671432467462</v>
      </c>
      <c r="AH89" s="24"/>
      <c r="AI89" s="24"/>
      <c r="AJ89" s="115"/>
    </row>
    <row r="90" spans="1:36" x14ac:dyDescent="0.25">
      <c r="A90" s="75"/>
      <c r="B90" s="66"/>
      <c r="C90" s="67"/>
      <c r="D90" s="67"/>
      <c r="E90" s="14"/>
      <c r="F90" s="67"/>
      <c r="G90" s="67"/>
      <c r="L90" s="61"/>
      <c r="N90" s="61"/>
      <c r="Q90" s="69"/>
      <c r="R90" s="19"/>
      <c r="S90" s="19"/>
      <c r="T90" s="19"/>
      <c r="U90" s="19"/>
      <c r="V90" s="19"/>
      <c r="X90" s="347" t="s">
        <v>69</v>
      </c>
      <c r="Y90" s="348" t="s">
        <v>64</v>
      </c>
      <c r="Z90" s="349" t="s">
        <v>29</v>
      </c>
      <c r="AA90" s="350">
        <v>13</v>
      </c>
      <c r="AB90" s="363" t="s">
        <v>222</v>
      </c>
      <c r="AC90" s="372" t="s">
        <v>128</v>
      </c>
      <c r="AD90" s="353">
        <f>65515.4+1302+2993.1+10490.8</f>
        <v>80301.3</v>
      </c>
      <c r="AE90" s="353">
        <f>65515.4+1302+2993.1+10490.8</f>
        <v>80301.3</v>
      </c>
      <c r="AF90" s="468">
        <v>80291.399999999994</v>
      </c>
      <c r="AG90" s="478">
        <f t="shared" si="18"/>
        <v>0.99987671432467462</v>
      </c>
      <c r="AH90" s="24"/>
      <c r="AI90" s="24"/>
      <c r="AJ90" s="115"/>
    </row>
    <row r="91" spans="1:36" x14ac:dyDescent="0.25">
      <c r="A91" s="75"/>
      <c r="B91" s="66"/>
      <c r="C91" s="67"/>
      <c r="D91" s="67"/>
      <c r="E91" s="14"/>
      <c r="F91" s="67"/>
      <c r="G91" s="67"/>
      <c r="L91" s="61"/>
      <c r="N91" s="61"/>
      <c r="Q91" s="69"/>
      <c r="R91" s="19"/>
      <c r="S91" s="19"/>
      <c r="T91" s="19"/>
      <c r="U91" s="19"/>
      <c r="V91" s="19"/>
      <c r="X91" s="347" t="s">
        <v>121</v>
      </c>
      <c r="Y91" s="348" t="s">
        <v>64</v>
      </c>
      <c r="Z91" s="349" t="s">
        <v>29</v>
      </c>
      <c r="AA91" s="350">
        <v>13</v>
      </c>
      <c r="AB91" s="363" t="s">
        <v>222</v>
      </c>
      <c r="AC91" s="372" t="s">
        <v>37</v>
      </c>
      <c r="AD91" s="353">
        <f>AD92</f>
        <v>701</v>
      </c>
      <c r="AE91" s="353">
        <f>AE92</f>
        <v>701</v>
      </c>
      <c r="AF91" s="468">
        <f>AF92</f>
        <v>673.6</v>
      </c>
      <c r="AG91" s="478">
        <f t="shared" si="18"/>
        <v>0.96091298145506421</v>
      </c>
      <c r="AH91" s="24"/>
      <c r="AI91" s="24"/>
      <c r="AJ91" s="115"/>
    </row>
    <row r="92" spans="1:36" ht="31.5" x14ac:dyDescent="0.25">
      <c r="A92" s="75"/>
      <c r="B92" s="66"/>
      <c r="C92" s="67"/>
      <c r="D92" s="67"/>
      <c r="E92" s="14"/>
      <c r="F92" s="67"/>
      <c r="G92" s="67"/>
      <c r="L92" s="61"/>
      <c r="N92" s="61"/>
      <c r="Q92" s="69"/>
      <c r="R92" s="19"/>
      <c r="S92" s="19"/>
      <c r="T92" s="19"/>
      <c r="U92" s="19"/>
      <c r="V92" s="19"/>
      <c r="X92" s="347" t="s">
        <v>52</v>
      </c>
      <c r="Y92" s="348" t="s">
        <v>64</v>
      </c>
      <c r="Z92" s="349" t="s">
        <v>29</v>
      </c>
      <c r="AA92" s="350">
        <v>13</v>
      </c>
      <c r="AB92" s="363" t="s">
        <v>222</v>
      </c>
      <c r="AC92" s="372" t="s">
        <v>66</v>
      </c>
      <c r="AD92" s="353">
        <f>706.6-5.6</f>
        <v>701</v>
      </c>
      <c r="AE92" s="353">
        <f>706.6-5.6</f>
        <v>701</v>
      </c>
      <c r="AF92" s="468">
        <v>673.6</v>
      </c>
      <c r="AG92" s="478">
        <f t="shared" si="18"/>
        <v>0.96091298145506421</v>
      </c>
      <c r="AH92" s="24"/>
      <c r="AI92" s="24"/>
      <c r="AJ92" s="115"/>
    </row>
    <row r="93" spans="1:36" ht="47.25" x14ac:dyDescent="0.25">
      <c r="A93" s="75"/>
      <c r="B93" s="66"/>
      <c r="C93" s="67"/>
      <c r="D93" s="67"/>
      <c r="E93" s="14"/>
      <c r="F93" s="67"/>
      <c r="G93" s="67"/>
      <c r="L93" s="61"/>
      <c r="N93" s="61"/>
      <c r="Q93" s="69"/>
      <c r="R93" s="19"/>
      <c r="S93" s="19"/>
      <c r="T93" s="19"/>
      <c r="U93" s="19"/>
      <c r="V93" s="19"/>
      <c r="X93" s="347" t="s">
        <v>408</v>
      </c>
      <c r="Y93" s="348" t="s">
        <v>64</v>
      </c>
      <c r="Z93" s="349" t="s">
        <v>29</v>
      </c>
      <c r="AA93" s="350">
        <v>13</v>
      </c>
      <c r="AB93" s="363" t="s">
        <v>409</v>
      </c>
      <c r="AC93" s="373"/>
      <c r="AD93" s="353">
        <f>AD94+AD96</f>
        <v>19853.300000000003</v>
      </c>
      <c r="AE93" s="353">
        <f>AE94+AE96</f>
        <v>19853.300000000003</v>
      </c>
      <c r="AF93" s="468">
        <f>AF94+AF96</f>
        <v>19666.2</v>
      </c>
      <c r="AG93" s="478">
        <f t="shared" si="18"/>
        <v>0.9905758740360544</v>
      </c>
      <c r="AH93" s="24"/>
      <c r="AI93" s="24"/>
      <c r="AJ93" s="115"/>
    </row>
    <row r="94" spans="1:36" ht="47.25" x14ac:dyDescent="0.25">
      <c r="A94" s="75"/>
      <c r="B94" s="66"/>
      <c r="C94" s="67"/>
      <c r="D94" s="67"/>
      <c r="E94" s="14"/>
      <c r="F94" s="67"/>
      <c r="G94" s="67"/>
      <c r="L94" s="61"/>
      <c r="N94" s="61"/>
      <c r="Q94" s="69"/>
      <c r="R94" s="19"/>
      <c r="S94" s="19"/>
      <c r="T94" s="19"/>
      <c r="U94" s="19"/>
      <c r="V94" s="19"/>
      <c r="X94" s="347" t="s">
        <v>41</v>
      </c>
      <c r="Y94" s="348" t="s">
        <v>64</v>
      </c>
      <c r="Z94" s="349" t="s">
        <v>29</v>
      </c>
      <c r="AA94" s="350">
        <v>13</v>
      </c>
      <c r="AB94" s="363" t="s">
        <v>409</v>
      </c>
      <c r="AC94" s="372" t="s">
        <v>127</v>
      </c>
      <c r="AD94" s="353">
        <f>AD95</f>
        <v>18357.200000000004</v>
      </c>
      <c r="AE94" s="353">
        <f>AE95</f>
        <v>18357.200000000004</v>
      </c>
      <c r="AF94" s="468">
        <f>AF95</f>
        <v>18350.900000000001</v>
      </c>
      <c r="AG94" s="478">
        <f t="shared" si="18"/>
        <v>0.99965681040681564</v>
      </c>
      <c r="AH94" s="24"/>
      <c r="AI94" s="24"/>
      <c r="AJ94" s="115"/>
    </row>
    <row r="95" spans="1:36" x14ac:dyDescent="0.25">
      <c r="A95" s="75"/>
      <c r="B95" s="66"/>
      <c r="C95" s="67"/>
      <c r="D95" s="67"/>
      <c r="E95" s="14"/>
      <c r="F95" s="67"/>
      <c r="G95" s="67"/>
      <c r="L95" s="61"/>
      <c r="N95" s="61"/>
      <c r="Q95" s="69"/>
      <c r="R95" s="19"/>
      <c r="S95" s="19"/>
      <c r="T95" s="19"/>
      <c r="U95" s="19"/>
      <c r="V95" s="19"/>
      <c r="X95" s="347" t="s">
        <v>69</v>
      </c>
      <c r="Y95" s="348" t="s">
        <v>64</v>
      </c>
      <c r="Z95" s="349" t="s">
        <v>29</v>
      </c>
      <c r="AA95" s="350">
        <v>13</v>
      </c>
      <c r="AB95" s="363" t="s">
        <v>409</v>
      </c>
      <c r="AC95" s="372" t="s">
        <v>128</v>
      </c>
      <c r="AD95" s="353">
        <f>13849.7+988+987.6+898+1633.9</f>
        <v>18357.200000000004</v>
      </c>
      <c r="AE95" s="353">
        <f>13849.7+988+987.6+898+1633.9</f>
        <v>18357.200000000004</v>
      </c>
      <c r="AF95" s="468">
        <v>18350.900000000001</v>
      </c>
      <c r="AG95" s="478">
        <f t="shared" si="18"/>
        <v>0.99965681040681564</v>
      </c>
      <c r="AH95" s="24"/>
      <c r="AI95" s="24"/>
      <c r="AJ95" s="115"/>
    </row>
    <row r="96" spans="1:36" x14ac:dyDescent="0.25">
      <c r="A96" s="75"/>
      <c r="B96" s="66"/>
      <c r="C96" s="67"/>
      <c r="D96" s="67"/>
      <c r="E96" s="14"/>
      <c r="F96" s="67"/>
      <c r="G96" s="67"/>
      <c r="L96" s="61"/>
      <c r="N96" s="61"/>
      <c r="Q96" s="69"/>
      <c r="R96" s="19"/>
      <c r="S96" s="19"/>
      <c r="T96" s="19"/>
      <c r="U96" s="19"/>
      <c r="V96" s="19"/>
      <c r="X96" s="347" t="s">
        <v>121</v>
      </c>
      <c r="Y96" s="348" t="s">
        <v>64</v>
      </c>
      <c r="Z96" s="349" t="s">
        <v>29</v>
      </c>
      <c r="AA96" s="350">
        <v>13</v>
      </c>
      <c r="AB96" s="363" t="s">
        <v>409</v>
      </c>
      <c r="AC96" s="372" t="s">
        <v>37</v>
      </c>
      <c r="AD96" s="353">
        <f>AD97</f>
        <v>1496.1</v>
      </c>
      <c r="AE96" s="353">
        <f>AE97</f>
        <v>1496.1</v>
      </c>
      <c r="AF96" s="468">
        <f>AF97</f>
        <v>1315.3</v>
      </c>
      <c r="AG96" s="478">
        <f t="shared" si="18"/>
        <v>0.87915246307065043</v>
      </c>
      <c r="AH96" s="24"/>
      <c r="AI96" s="24"/>
      <c r="AJ96" s="115"/>
    </row>
    <row r="97" spans="1:36" ht="31.5" x14ac:dyDescent="0.25">
      <c r="A97" s="75"/>
      <c r="B97" s="66"/>
      <c r="C97" s="67"/>
      <c r="D97" s="67"/>
      <c r="E97" s="14"/>
      <c r="F97" s="67"/>
      <c r="G97" s="67"/>
      <c r="L97" s="61"/>
      <c r="N97" s="61"/>
      <c r="Q97" s="69"/>
      <c r="R97" s="19"/>
      <c r="S97" s="19"/>
      <c r="T97" s="19"/>
      <c r="U97" s="19"/>
      <c r="V97" s="19"/>
      <c r="X97" s="347" t="s">
        <v>52</v>
      </c>
      <c r="Y97" s="348" t="s">
        <v>64</v>
      </c>
      <c r="Z97" s="349" t="s">
        <v>29</v>
      </c>
      <c r="AA97" s="350">
        <v>13</v>
      </c>
      <c r="AB97" s="363" t="s">
        <v>409</v>
      </c>
      <c r="AC97" s="372" t="s">
        <v>66</v>
      </c>
      <c r="AD97" s="353">
        <f>652.6+39.4+820-15.9</f>
        <v>1496.1</v>
      </c>
      <c r="AE97" s="353">
        <f>652.6+39.4+820-15.9</f>
        <v>1496.1</v>
      </c>
      <c r="AF97" s="468">
        <v>1315.3</v>
      </c>
      <c r="AG97" s="478">
        <f t="shared" si="18"/>
        <v>0.87915246307065043</v>
      </c>
      <c r="AH97" s="24"/>
      <c r="AI97" s="24"/>
      <c r="AJ97" s="115"/>
    </row>
    <row r="98" spans="1:36" ht="31.5" x14ac:dyDescent="0.25">
      <c r="A98" s="73"/>
      <c r="B98" s="66"/>
      <c r="C98" s="67"/>
      <c r="D98" s="67"/>
      <c r="E98" s="14"/>
      <c r="F98" s="67"/>
      <c r="G98" s="68"/>
      <c r="H98" s="3"/>
      <c r="L98" s="61"/>
      <c r="N98" s="61"/>
      <c r="P98" s="68"/>
      <c r="Q98" s="69"/>
      <c r="R98" s="19"/>
      <c r="S98" s="19"/>
      <c r="T98" s="19"/>
      <c r="U98" s="19"/>
      <c r="V98" s="19"/>
      <c r="X98" s="356" t="s">
        <v>306</v>
      </c>
      <c r="Y98" s="348" t="s">
        <v>64</v>
      </c>
      <c r="Z98" s="349" t="s">
        <v>29</v>
      </c>
      <c r="AA98" s="350">
        <v>13</v>
      </c>
      <c r="AB98" s="355" t="s">
        <v>132</v>
      </c>
      <c r="AC98" s="357"/>
      <c r="AD98" s="353">
        <f t="shared" ref="AD98:AF99" si="21">AD99</f>
        <v>0.60000000000000009</v>
      </c>
      <c r="AE98" s="353">
        <f t="shared" si="21"/>
        <v>0.60000000000000009</v>
      </c>
      <c r="AF98" s="468">
        <f t="shared" si="21"/>
        <v>0.6</v>
      </c>
      <c r="AG98" s="478">
        <f t="shared" si="18"/>
        <v>0.99999999999999978</v>
      </c>
      <c r="AH98" s="24"/>
      <c r="AI98" s="24"/>
      <c r="AJ98" s="115"/>
    </row>
    <row r="99" spans="1:36" x14ac:dyDescent="0.25">
      <c r="A99" s="73"/>
      <c r="B99" s="66"/>
      <c r="C99" s="67"/>
      <c r="D99" s="67"/>
      <c r="E99" s="14"/>
      <c r="F99" s="67"/>
      <c r="G99" s="68"/>
      <c r="H99" s="3"/>
      <c r="L99" s="61"/>
      <c r="N99" s="61"/>
      <c r="P99" s="68"/>
      <c r="Q99" s="69"/>
      <c r="R99" s="19"/>
      <c r="S99" s="19"/>
      <c r="T99" s="19"/>
      <c r="U99" s="19"/>
      <c r="V99" s="19"/>
      <c r="X99" s="356" t="s">
        <v>47</v>
      </c>
      <c r="Y99" s="348" t="s">
        <v>64</v>
      </c>
      <c r="Z99" s="349" t="s">
        <v>29</v>
      </c>
      <c r="AA99" s="350">
        <v>13</v>
      </c>
      <c r="AB99" s="355" t="s">
        <v>475</v>
      </c>
      <c r="AC99" s="357"/>
      <c r="AD99" s="353">
        <f t="shared" si="21"/>
        <v>0.60000000000000009</v>
      </c>
      <c r="AE99" s="353">
        <f t="shared" si="21"/>
        <v>0.60000000000000009</v>
      </c>
      <c r="AF99" s="468">
        <f t="shared" si="21"/>
        <v>0.6</v>
      </c>
      <c r="AG99" s="478">
        <f t="shared" si="18"/>
        <v>0.99999999999999978</v>
      </c>
      <c r="AH99" s="24"/>
      <c r="AI99" s="24"/>
      <c r="AJ99" s="115"/>
    </row>
    <row r="100" spans="1:36" ht="31.5" x14ac:dyDescent="0.25">
      <c r="A100" s="73"/>
      <c r="B100" s="66"/>
      <c r="C100" s="67"/>
      <c r="D100" s="67"/>
      <c r="E100" s="14"/>
      <c r="F100" s="67"/>
      <c r="G100" s="68"/>
      <c r="H100" s="3"/>
      <c r="L100" s="61"/>
      <c r="N100" s="61"/>
      <c r="P100" s="68"/>
      <c r="Q100" s="69"/>
      <c r="R100" s="19"/>
      <c r="S100" s="19"/>
      <c r="T100" s="19"/>
      <c r="U100" s="19"/>
      <c r="V100" s="19"/>
      <c r="X100" s="374" t="s">
        <v>320</v>
      </c>
      <c r="Y100" s="348" t="s">
        <v>64</v>
      </c>
      <c r="Z100" s="349" t="s">
        <v>29</v>
      </c>
      <c r="AA100" s="350">
        <v>13</v>
      </c>
      <c r="AB100" s="355" t="s">
        <v>484</v>
      </c>
      <c r="AC100" s="357"/>
      <c r="AD100" s="353">
        <f t="shared" ref="AD100:AF102" si="22">AD101</f>
        <v>0.60000000000000009</v>
      </c>
      <c r="AE100" s="353">
        <f t="shared" si="22"/>
        <v>0.60000000000000009</v>
      </c>
      <c r="AF100" s="468">
        <f t="shared" si="22"/>
        <v>0.6</v>
      </c>
      <c r="AG100" s="478">
        <f t="shared" si="18"/>
        <v>0.99999999999999978</v>
      </c>
      <c r="AH100" s="24"/>
      <c r="AI100" s="24"/>
      <c r="AJ100" s="115"/>
    </row>
    <row r="101" spans="1:36" ht="31.5" x14ac:dyDescent="0.25">
      <c r="A101" s="73"/>
      <c r="B101" s="66"/>
      <c r="C101" s="67"/>
      <c r="D101" s="67"/>
      <c r="E101" s="14"/>
      <c r="F101" s="67"/>
      <c r="G101" s="68"/>
      <c r="H101" s="3"/>
      <c r="L101" s="61"/>
      <c r="N101" s="61"/>
      <c r="P101" s="68"/>
      <c r="Q101" s="69"/>
      <c r="R101" s="19"/>
      <c r="S101" s="19"/>
      <c r="T101" s="19"/>
      <c r="U101" s="19"/>
      <c r="V101" s="19"/>
      <c r="X101" s="364" t="s">
        <v>486</v>
      </c>
      <c r="Y101" s="348" t="s">
        <v>64</v>
      </c>
      <c r="Z101" s="349" t="s">
        <v>29</v>
      </c>
      <c r="AA101" s="350">
        <v>13</v>
      </c>
      <c r="AB101" s="355" t="s">
        <v>485</v>
      </c>
      <c r="AC101" s="357"/>
      <c r="AD101" s="353">
        <f t="shared" si="22"/>
        <v>0.60000000000000009</v>
      </c>
      <c r="AE101" s="353">
        <f t="shared" si="22"/>
        <v>0.60000000000000009</v>
      </c>
      <c r="AF101" s="468">
        <f t="shared" si="22"/>
        <v>0.6</v>
      </c>
      <c r="AG101" s="478">
        <f t="shared" si="18"/>
        <v>0.99999999999999978</v>
      </c>
      <c r="AH101" s="24"/>
      <c r="AI101" s="24"/>
      <c r="AJ101" s="115"/>
    </row>
    <row r="102" spans="1:36" x14ac:dyDescent="0.25">
      <c r="A102" s="73"/>
      <c r="B102" s="66"/>
      <c r="C102" s="67"/>
      <c r="D102" s="67"/>
      <c r="E102" s="14"/>
      <c r="F102" s="67"/>
      <c r="G102" s="68"/>
      <c r="H102" s="3"/>
      <c r="L102" s="61"/>
      <c r="N102" s="61"/>
      <c r="P102" s="68"/>
      <c r="Q102" s="69"/>
      <c r="R102" s="19"/>
      <c r="S102" s="19"/>
      <c r="T102" s="19"/>
      <c r="U102" s="19"/>
      <c r="V102" s="19"/>
      <c r="X102" s="347" t="s">
        <v>121</v>
      </c>
      <c r="Y102" s="348" t="s">
        <v>64</v>
      </c>
      <c r="Z102" s="349" t="s">
        <v>29</v>
      </c>
      <c r="AA102" s="350">
        <v>13</v>
      </c>
      <c r="AB102" s="355" t="s">
        <v>485</v>
      </c>
      <c r="AC102" s="357">
        <v>200</v>
      </c>
      <c r="AD102" s="353">
        <f t="shared" si="22"/>
        <v>0.60000000000000009</v>
      </c>
      <c r="AE102" s="353">
        <f t="shared" si="22"/>
        <v>0.60000000000000009</v>
      </c>
      <c r="AF102" s="468">
        <f t="shared" si="22"/>
        <v>0.6</v>
      </c>
      <c r="AG102" s="478">
        <f t="shared" si="18"/>
        <v>0.99999999999999978</v>
      </c>
      <c r="AH102" s="24"/>
      <c r="AI102" s="24"/>
      <c r="AJ102" s="115"/>
    </row>
    <row r="103" spans="1:36" ht="31.5" x14ac:dyDescent="0.25">
      <c r="A103" s="73"/>
      <c r="B103" s="66"/>
      <c r="C103" s="67"/>
      <c r="D103" s="67"/>
      <c r="E103" s="14"/>
      <c r="F103" s="67"/>
      <c r="G103" s="68"/>
      <c r="H103" s="3"/>
      <c r="L103" s="61"/>
      <c r="N103" s="61"/>
      <c r="P103" s="68"/>
      <c r="Q103" s="69"/>
      <c r="R103" s="19"/>
      <c r="S103" s="19"/>
      <c r="T103" s="19"/>
      <c r="U103" s="19"/>
      <c r="V103" s="19"/>
      <c r="X103" s="347" t="s">
        <v>52</v>
      </c>
      <c r="Y103" s="348" t="s">
        <v>64</v>
      </c>
      <c r="Z103" s="349" t="s">
        <v>29</v>
      </c>
      <c r="AA103" s="350">
        <v>13</v>
      </c>
      <c r="AB103" s="355" t="s">
        <v>485</v>
      </c>
      <c r="AC103" s="357">
        <v>240</v>
      </c>
      <c r="AD103" s="353">
        <f>2.1-1.5</f>
        <v>0.60000000000000009</v>
      </c>
      <c r="AE103" s="353">
        <f>2.1-1.5</f>
        <v>0.60000000000000009</v>
      </c>
      <c r="AF103" s="468">
        <v>0.6</v>
      </c>
      <c r="AG103" s="478">
        <f t="shared" si="18"/>
        <v>0.99999999999999978</v>
      </c>
      <c r="AH103" s="24"/>
      <c r="AI103" s="24"/>
      <c r="AJ103" s="115"/>
    </row>
    <row r="104" spans="1:36" x14ac:dyDescent="0.25">
      <c r="A104" s="73"/>
      <c r="B104" s="66"/>
      <c r="C104" s="67"/>
      <c r="D104" s="67"/>
      <c r="E104" s="14"/>
      <c r="F104" s="67"/>
      <c r="G104" s="68"/>
      <c r="H104" s="3"/>
      <c r="L104" s="61"/>
      <c r="N104" s="61"/>
      <c r="P104" s="68"/>
      <c r="Q104" s="69"/>
      <c r="R104" s="19"/>
      <c r="S104" s="19"/>
      <c r="T104" s="19"/>
      <c r="U104" s="19"/>
      <c r="V104" s="19"/>
      <c r="X104" s="354" t="s">
        <v>238</v>
      </c>
      <c r="Y104" s="348" t="s">
        <v>64</v>
      </c>
      <c r="Z104" s="349" t="s">
        <v>29</v>
      </c>
      <c r="AA104" s="350">
        <v>13</v>
      </c>
      <c r="AB104" s="355" t="s">
        <v>239</v>
      </c>
      <c r="AC104" s="357"/>
      <c r="AD104" s="353">
        <f>AD105+AD114</f>
        <v>52406.9</v>
      </c>
      <c r="AE104" s="353">
        <f>AE105+AE114</f>
        <v>52406.9</v>
      </c>
      <c r="AF104" s="468">
        <f>AF105+AF114</f>
        <v>52406.9</v>
      </c>
      <c r="AG104" s="478">
        <f t="shared" si="18"/>
        <v>1</v>
      </c>
      <c r="AH104" s="24"/>
      <c r="AI104" s="24"/>
      <c r="AJ104" s="115"/>
    </row>
    <row r="105" spans="1:36" ht="57.6" customHeight="1" x14ac:dyDescent="0.25">
      <c r="A105" s="73"/>
      <c r="B105" s="66"/>
      <c r="C105" s="67"/>
      <c r="D105" s="67"/>
      <c r="E105" s="14"/>
      <c r="F105" s="67"/>
      <c r="G105" s="68"/>
      <c r="H105" s="3"/>
      <c r="L105" s="61"/>
      <c r="N105" s="61"/>
      <c r="P105" s="68"/>
      <c r="Q105" s="69"/>
      <c r="R105" s="19"/>
      <c r="S105" s="19"/>
      <c r="T105" s="19"/>
      <c r="U105" s="19"/>
      <c r="V105" s="19"/>
      <c r="X105" s="369" t="s">
        <v>575</v>
      </c>
      <c r="Y105" s="348" t="s">
        <v>64</v>
      </c>
      <c r="Z105" s="349" t="s">
        <v>29</v>
      </c>
      <c r="AA105" s="350">
        <v>13</v>
      </c>
      <c r="AB105" s="355" t="s">
        <v>240</v>
      </c>
      <c r="AC105" s="357"/>
      <c r="AD105" s="353">
        <f>AD110+AD106</f>
        <v>2613</v>
      </c>
      <c r="AE105" s="353">
        <f>AE110+AE106</f>
        <v>2613</v>
      </c>
      <c r="AF105" s="468">
        <f t="shared" ref="AF105" si="23">AF110+AF106</f>
        <v>2613</v>
      </c>
      <c r="AG105" s="478">
        <f t="shared" si="18"/>
        <v>1</v>
      </c>
      <c r="AH105" s="24"/>
      <c r="AI105" s="24"/>
      <c r="AJ105" s="115"/>
    </row>
    <row r="106" spans="1:36" ht="45.75" customHeight="1" x14ac:dyDescent="0.25">
      <c r="A106" s="73"/>
      <c r="B106" s="66"/>
      <c r="C106" s="67"/>
      <c r="D106" s="67"/>
      <c r="E106" s="14"/>
      <c r="F106" s="67"/>
      <c r="G106" s="68"/>
      <c r="H106" s="3"/>
      <c r="L106" s="61"/>
      <c r="N106" s="61"/>
      <c r="P106" s="68"/>
      <c r="Q106" s="69"/>
      <c r="R106" s="19"/>
      <c r="S106" s="19"/>
      <c r="T106" s="19"/>
      <c r="U106" s="19"/>
      <c r="V106" s="19"/>
      <c r="X106" s="369" t="s">
        <v>817</v>
      </c>
      <c r="Y106" s="348" t="s">
        <v>64</v>
      </c>
      <c r="Z106" s="349" t="s">
        <v>29</v>
      </c>
      <c r="AA106" s="350">
        <v>13</v>
      </c>
      <c r="AB106" s="355" t="s">
        <v>818</v>
      </c>
      <c r="AC106" s="357"/>
      <c r="AD106" s="353">
        <f t="shared" ref="AD106:AE108" si="24">AD107</f>
        <v>1768</v>
      </c>
      <c r="AE106" s="353">
        <f t="shared" si="24"/>
        <v>1768</v>
      </c>
      <c r="AF106" s="468">
        <f t="shared" ref="AF106:AF108" si="25">AF107</f>
        <v>1768</v>
      </c>
      <c r="AG106" s="478">
        <f t="shared" si="18"/>
        <v>1</v>
      </c>
      <c r="AH106" s="24"/>
      <c r="AI106" s="24"/>
      <c r="AJ106" s="115"/>
    </row>
    <row r="107" spans="1:36" ht="48.75" customHeight="1" x14ac:dyDescent="0.25">
      <c r="A107" s="73"/>
      <c r="B107" s="66"/>
      <c r="C107" s="67"/>
      <c r="D107" s="67"/>
      <c r="E107" s="14"/>
      <c r="F107" s="67"/>
      <c r="G107" s="68"/>
      <c r="H107" s="3"/>
      <c r="L107" s="61"/>
      <c r="N107" s="61"/>
      <c r="P107" s="68"/>
      <c r="Q107" s="69"/>
      <c r="R107" s="19"/>
      <c r="S107" s="19"/>
      <c r="T107" s="19"/>
      <c r="U107" s="19"/>
      <c r="V107" s="19"/>
      <c r="X107" s="369" t="s">
        <v>815</v>
      </c>
      <c r="Y107" s="348" t="s">
        <v>64</v>
      </c>
      <c r="Z107" s="349" t="s">
        <v>29</v>
      </c>
      <c r="AA107" s="350">
        <v>13</v>
      </c>
      <c r="AB107" s="355" t="s">
        <v>816</v>
      </c>
      <c r="AC107" s="357"/>
      <c r="AD107" s="353">
        <f t="shared" si="24"/>
        <v>1768</v>
      </c>
      <c r="AE107" s="353">
        <f t="shared" si="24"/>
        <v>1768</v>
      </c>
      <c r="AF107" s="468">
        <f t="shared" si="25"/>
        <v>1768</v>
      </c>
      <c r="AG107" s="478">
        <f t="shared" si="18"/>
        <v>1</v>
      </c>
      <c r="AH107" s="24"/>
      <c r="AI107" s="24"/>
      <c r="AJ107" s="115"/>
    </row>
    <row r="108" spans="1:36" ht="31.5" customHeight="1" x14ac:dyDescent="0.25">
      <c r="A108" s="73"/>
      <c r="B108" s="66"/>
      <c r="C108" s="67"/>
      <c r="D108" s="67"/>
      <c r="E108" s="14"/>
      <c r="F108" s="67"/>
      <c r="G108" s="68"/>
      <c r="H108" s="3"/>
      <c r="L108" s="61"/>
      <c r="N108" s="61"/>
      <c r="P108" s="68"/>
      <c r="Q108" s="69"/>
      <c r="R108" s="19"/>
      <c r="S108" s="19"/>
      <c r="T108" s="19"/>
      <c r="U108" s="19"/>
      <c r="V108" s="19"/>
      <c r="X108" s="347" t="s">
        <v>61</v>
      </c>
      <c r="Y108" s="348" t="s">
        <v>64</v>
      </c>
      <c r="Z108" s="349" t="s">
        <v>29</v>
      </c>
      <c r="AA108" s="350">
        <v>13</v>
      </c>
      <c r="AB108" s="355" t="s">
        <v>816</v>
      </c>
      <c r="AC108" s="357">
        <v>600</v>
      </c>
      <c r="AD108" s="353">
        <f t="shared" si="24"/>
        <v>1768</v>
      </c>
      <c r="AE108" s="353">
        <f t="shared" si="24"/>
        <v>1768</v>
      </c>
      <c r="AF108" s="468">
        <f t="shared" si="25"/>
        <v>1768</v>
      </c>
      <c r="AG108" s="478">
        <f t="shared" si="18"/>
        <v>1</v>
      </c>
      <c r="AH108" s="24"/>
      <c r="AI108" s="24"/>
      <c r="AJ108" s="115"/>
    </row>
    <row r="109" spans="1:36" ht="24" customHeight="1" x14ac:dyDescent="0.25">
      <c r="A109" s="73"/>
      <c r="B109" s="66"/>
      <c r="C109" s="67"/>
      <c r="D109" s="67"/>
      <c r="E109" s="14"/>
      <c r="F109" s="67"/>
      <c r="G109" s="68"/>
      <c r="H109" s="3"/>
      <c r="L109" s="61"/>
      <c r="N109" s="61"/>
      <c r="P109" s="68"/>
      <c r="Q109" s="69"/>
      <c r="R109" s="19"/>
      <c r="S109" s="19"/>
      <c r="T109" s="19"/>
      <c r="U109" s="19"/>
      <c r="V109" s="19"/>
      <c r="X109" s="347" t="s">
        <v>62</v>
      </c>
      <c r="Y109" s="348" t="s">
        <v>64</v>
      </c>
      <c r="Z109" s="349" t="s">
        <v>29</v>
      </c>
      <c r="AA109" s="350">
        <v>13</v>
      </c>
      <c r="AB109" s="355" t="s">
        <v>816</v>
      </c>
      <c r="AC109" s="357">
        <v>610</v>
      </c>
      <c r="AD109" s="353">
        <f>1679+89</f>
        <v>1768</v>
      </c>
      <c r="AE109" s="353">
        <f>1679+89</f>
        <v>1768</v>
      </c>
      <c r="AF109" s="468">
        <v>1768</v>
      </c>
      <c r="AG109" s="478">
        <f t="shared" si="18"/>
        <v>1</v>
      </c>
      <c r="AH109" s="24"/>
      <c r="AI109" s="24"/>
      <c r="AJ109" s="115"/>
    </row>
    <row r="110" spans="1:36" ht="47.25" x14ac:dyDescent="0.25">
      <c r="A110" s="73"/>
      <c r="B110" s="66"/>
      <c r="C110" s="67"/>
      <c r="D110" s="67"/>
      <c r="E110" s="14"/>
      <c r="F110" s="67"/>
      <c r="G110" s="68"/>
      <c r="H110" s="3"/>
      <c r="L110" s="61"/>
      <c r="N110" s="61"/>
      <c r="P110" s="68"/>
      <c r="Q110" s="69"/>
      <c r="R110" s="19"/>
      <c r="S110" s="19"/>
      <c r="T110" s="19"/>
      <c r="U110" s="19"/>
      <c r="V110" s="19"/>
      <c r="X110" s="347" t="s">
        <v>421</v>
      </c>
      <c r="Y110" s="348" t="s">
        <v>64</v>
      </c>
      <c r="Z110" s="349" t="s">
        <v>29</v>
      </c>
      <c r="AA110" s="350">
        <v>13</v>
      </c>
      <c r="AB110" s="355" t="s">
        <v>241</v>
      </c>
      <c r="AC110" s="357"/>
      <c r="AD110" s="353">
        <f t="shared" ref="AD110:AF112" si="26">AD111</f>
        <v>845</v>
      </c>
      <c r="AE110" s="353">
        <f t="shared" si="26"/>
        <v>845</v>
      </c>
      <c r="AF110" s="468">
        <f t="shared" si="26"/>
        <v>845</v>
      </c>
      <c r="AG110" s="478">
        <f t="shared" si="18"/>
        <v>1</v>
      </c>
      <c r="AH110" s="24"/>
      <c r="AI110" s="24"/>
      <c r="AJ110" s="115"/>
    </row>
    <row r="111" spans="1:36" ht="66.599999999999994" customHeight="1" x14ac:dyDescent="0.25">
      <c r="A111" s="73"/>
      <c r="B111" s="66"/>
      <c r="C111" s="67"/>
      <c r="D111" s="67"/>
      <c r="E111" s="14"/>
      <c r="F111" s="67"/>
      <c r="G111" s="68"/>
      <c r="H111" s="3"/>
      <c r="L111" s="61"/>
      <c r="N111" s="61"/>
      <c r="P111" s="68"/>
      <c r="Q111" s="69"/>
      <c r="R111" s="19"/>
      <c r="S111" s="19"/>
      <c r="T111" s="19"/>
      <c r="U111" s="19"/>
      <c r="V111" s="19"/>
      <c r="X111" s="347" t="s">
        <v>669</v>
      </c>
      <c r="Y111" s="348" t="s">
        <v>64</v>
      </c>
      <c r="Z111" s="349" t="s">
        <v>29</v>
      </c>
      <c r="AA111" s="350">
        <v>13</v>
      </c>
      <c r="AB111" s="355" t="s">
        <v>670</v>
      </c>
      <c r="AC111" s="357"/>
      <c r="AD111" s="353">
        <f t="shared" si="26"/>
        <v>845</v>
      </c>
      <c r="AE111" s="353">
        <f t="shared" si="26"/>
        <v>845</v>
      </c>
      <c r="AF111" s="468">
        <f t="shared" si="26"/>
        <v>845</v>
      </c>
      <c r="AG111" s="478">
        <f t="shared" si="18"/>
        <v>1</v>
      </c>
      <c r="AH111" s="24"/>
      <c r="AI111" s="24"/>
      <c r="AJ111" s="115"/>
    </row>
    <row r="112" spans="1:36" ht="31.5" x14ac:dyDescent="0.25">
      <c r="A112" s="73"/>
      <c r="B112" s="66"/>
      <c r="C112" s="67"/>
      <c r="D112" s="67"/>
      <c r="E112" s="14"/>
      <c r="F112" s="67"/>
      <c r="G112" s="68"/>
      <c r="H112" s="3"/>
      <c r="L112" s="61"/>
      <c r="N112" s="61"/>
      <c r="P112" s="68"/>
      <c r="Q112" s="69"/>
      <c r="R112" s="19"/>
      <c r="S112" s="19"/>
      <c r="T112" s="19"/>
      <c r="U112" s="19"/>
      <c r="V112" s="19"/>
      <c r="X112" s="347" t="s">
        <v>61</v>
      </c>
      <c r="Y112" s="348" t="s">
        <v>64</v>
      </c>
      <c r="Z112" s="349" t="s">
        <v>29</v>
      </c>
      <c r="AA112" s="350">
        <v>13</v>
      </c>
      <c r="AB112" s="355" t="s">
        <v>670</v>
      </c>
      <c r="AC112" s="357">
        <v>600</v>
      </c>
      <c r="AD112" s="353">
        <f t="shared" si="26"/>
        <v>845</v>
      </c>
      <c r="AE112" s="353">
        <f t="shared" si="26"/>
        <v>845</v>
      </c>
      <c r="AF112" s="468">
        <f t="shared" si="26"/>
        <v>845</v>
      </c>
      <c r="AG112" s="478">
        <f t="shared" si="18"/>
        <v>1</v>
      </c>
      <c r="AH112" s="24"/>
      <c r="AI112" s="24"/>
      <c r="AJ112" s="115"/>
    </row>
    <row r="113" spans="1:36" x14ac:dyDescent="0.25">
      <c r="A113" s="73"/>
      <c r="B113" s="66"/>
      <c r="C113" s="67"/>
      <c r="D113" s="67"/>
      <c r="E113" s="14"/>
      <c r="F113" s="67"/>
      <c r="G113" s="68"/>
      <c r="H113" s="3"/>
      <c r="L113" s="61"/>
      <c r="N113" s="61"/>
      <c r="P113" s="68"/>
      <c r="Q113" s="69"/>
      <c r="R113" s="19"/>
      <c r="S113" s="19"/>
      <c r="T113" s="19"/>
      <c r="U113" s="19"/>
      <c r="V113" s="19"/>
      <c r="X113" s="347" t="s">
        <v>62</v>
      </c>
      <c r="Y113" s="348" t="s">
        <v>64</v>
      </c>
      <c r="Z113" s="349" t="s">
        <v>29</v>
      </c>
      <c r="AA113" s="350">
        <v>13</v>
      </c>
      <c r="AB113" s="355" t="s">
        <v>670</v>
      </c>
      <c r="AC113" s="357">
        <v>610</v>
      </c>
      <c r="AD113" s="353">
        <f>845</f>
        <v>845</v>
      </c>
      <c r="AE113" s="353">
        <f>845</f>
        <v>845</v>
      </c>
      <c r="AF113" s="468">
        <v>845</v>
      </c>
      <c r="AG113" s="478">
        <f t="shared" si="18"/>
        <v>1</v>
      </c>
      <c r="AH113" s="24"/>
      <c r="AI113" s="24"/>
      <c r="AJ113" s="115"/>
    </row>
    <row r="114" spans="1:36" x14ac:dyDescent="0.25">
      <c r="A114" s="73"/>
      <c r="B114" s="66"/>
      <c r="C114" s="67"/>
      <c r="D114" s="67"/>
      <c r="E114" s="14"/>
      <c r="F114" s="67"/>
      <c r="G114" s="68"/>
      <c r="H114" s="3"/>
      <c r="L114" s="61"/>
      <c r="N114" s="61"/>
      <c r="P114" s="68"/>
      <c r="Q114" s="69"/>
      <c r="R114" s="19"/>
      <c r="S114" s="19"/>
      <c r="T114" s="19"/>
      <c r="U114" s="19"/>
      <c r="V114" s="19"/>
      <c r="X114" s="347" t="s">
        <v>47</v>
      </c>
      <c r="Y114" s="348" t="s">
        <v>64</v>
      </c>
      <c r="Z114" s="349" t="s">
        <v>29</v>
      </c>
      <c r="AA114" s="350">
        <v>13</v>
      </c>
      <c r="AB114" s="355" t="s">
        <v>576</v>
      </c>
      <c r="AC114" s="357"/>
      <c r="AD114" s="353">
        <f t="shared" ref="AD114:AE117" si="27">AD115</f>
        <v>49793.9</v>
      </c>
      <c r="AE114" s="353">
        <f t="shared" si="27"/>
        <v>49793.9</v>
      </c>
      <c r="AF114" s="468">
        <f t="shared" ref="AF114:AF117" si="28">AF115</f>
        <v>49793.9</v>
      </c>
      <c r="AG114" s="478">
        <f t="shared" si="18"/>
        <v>1</v>
      </c>
      <c r="AH114" s="24"/>
      <c r="AI114" s="24"/>
      <c r="AJ114" s="115"/>
    </row>
    <row r="115" spans="1:36" ht="31.5" x14ac:dyDescent="0.25">
      <c r="A115" s="73"/>
      <c r="B115" s="66"/>
      <c r="C115" s="67"/>
      <c r="D115" s="67"/>
      <c r="E115" s="14"/>
      <c r="F115" s="67"/>
      <c r="G115" s="68"/>
      <c r="H115" s="3"/>
      <c r="L115" s="61"/>
      <c r="N115" s="61"/>
      <c r="P115" s="68"/>
      <c r="Q115" s="69"/>
      <c r="R115" s="19"/>
      <c r="S115" s="19"/>
      <c r="T115" s="19"/>
      <c r="U115" s="19"/>
      <c r="V115" s="19"/>
      <c r="X115" s="347" t="s">
        <v>339</v>
      </c>
      <c r="Y115" s="348" t="s">
        <v>64</v>
      </c>
      <c r="Z115" s="349" t="s">
        <v>29</v>
      </c>
      <c r="AA115" s="350">
        <v>13</v>
      </c>
      <c r="AB115" s="355" t="s">
        <v>577</v>
      </c>
      <c r="AC115" s="357"/>
      <c r="AD115" s="353">
        <f t="shared" si="27"/>
        <v>49793.9</v>
      </c>
      <c r="AE115" s="353">
        <f t="shared" si="27"/>
        <v>49793.9</v>
      </c>
      <c r="AF115" s="468">
        <f t="shared" si="28"/>
        <v>49793.9</v>
      </c>
      <c r="AG115" s="478">
        <f t="shared" si="18"/>
        <v>1</v>
      </c>
      <c r="AH115" s="24"/>
      <c r="AI115" s="24"/>
      <c r="AJ115" s="115"/>
    </row>
    <row r="116" spans="1:36" ht="31.5" x14ac:dyDescent="0.25">
      <c r="A116" s="73"/>
      <c r="B116" s="66"/>
      <c r="C116" s="67"/>
      <c r="D116" s="67"/>
      <c r="E116" s="14"/>
      <c r="F116" s="67"/>
      <c r="G116" s="68"/>
      <c r="H116" s="3"/>
      <c r="L116" s="61"/>
      <c r="N116" s="61"/>
      <c r="P116" s="68"/>
      <c r="Q116" s="69"/>
      <c r="R116" s="19"/>
      <c r="S116" s="19"/>
      <c r="T116" s="19"/>
      <c r="U116" s="19"/>
      <c r="V116" s="19"/>
      <c r="X116" s="347" t="s">
        <v>242</v>
      </c>
      <c r="Y116" s="348" t="s">
        <v>64</v>
      </c>
      <c r="Z116" s="349" t="s">
        <v>29</v>
      </c>
      <c r="AA116" s="350">
        <v>13</v>
      </c>
      <c r="AB116" s="355" t="s">
        <v>578</v>
      </c>
      <c r="AC116" s="357"/>
      <c r="AD116" s="353">
        <f t="shared" si="27"/>
        <v>49793.9</v>
      </c>
      <c r="AE116" s="353">
        <f t="shared" si="27"/>
        <v>49793.9</v>
      </c>
      <c r="AF116" s="468">
        <f t="shared" si="28"/>
        <v>49793.9</v>
      </c>
      <c r="AG116" s="478">
        <f t="shared" si="18"/>
        <v>1</v>
      </c>
      <c r="AH116" s="24"/>
      <c r="AI116" s="24"/>
      <c r="AJ116" s="115"/>
    </row>
    <row r="117" spans="1:36" ht="31.5" x14ac:dyDescent="0.25">
      <c r="A117" s="73"/>
      <c r="B117" s="66"/>
      <c r="C117" s="67"/>
      <c r="D117" s="67"/>
      <c r="E117" s="14"/>
      <c r="F117" s="67"/>
      <c r="G117" s="68"/>
      <c r="H117" s="3"/>
      <c r="L117" s="61"/>
      <c r="N117" s="61"/>
      <c r="P117" s="68"/>
      <c r="Q117" s="69"/>
      <c r="R117" s="19"/>
      <c r="S117" s="19"/>
      <c r="T117" s="19"/>
      <c r="U117" s="19"/>
      <c r="V117" s="19"/>
      <c r="X117" s="347" t="s">
        <v>61</v>
      </c>
      <c r="Y117" s="348" t="s">
        <v>64</v>
      </c>
      <c r="Z117" s="349" t="s">
        <v>29</v>
      </c>
      <c r="AA117" s="350">
        <v>13</v>
      </c>
      <c r="AB117" s="355" t="s">
        <v>578</v>
      </c>
      <c r="AC117" s="357">
        <v>600</v>
      </c>
      <c r="AD117" s="353">
        <f t="shared" si="27"/>
        <v>49793.9</v>
      </c>
      <c r="AE117" s="353">
        <f t="shared" si="27"/>
        <v>49793.9</v>
      </c>
      <c r="AF117" s="468">
        <f t="shared" si="28"/>
        <v>49793.9</v>
      </c>
      <c r="AG117" s="478">
        <f t="shared" si="18"/>
        <v>1</v>
      </c>
      <c r="AH117" s="24"/>
      <c r="AI117" s="24"/>
      <c r="AJ117" s="115"/>
    </row>
    <row r="118" spans="1:36" x14ac:dyDescent="0.25">
      <c r="A118" s="73"/>
      <c r="B118" s="66"/>
      <c r="C118" s="67"/>
      <c r="D118" s="67"/>
      <c r="E118" s="14"/>
      <c r="F118" s="67"/>
      <c r="G118" s="68"/>
      <c r="H118" s="3"/>
      <c r="L118" s="61"/>
      <c r="N118" s="61"/>
      <c r="P118" s="68"/>
      <c r="Q118" s="69"/>
      <c r="R118" s="19"/>
      <c r="S118" s="19"/>
      <c r="T118" s="19"/>
      <c r="U118" s="19"/>
      <c r="V118" s="19"/>
      <c r="X118" s="347" t="s">
        <v>62</v>
      </c>
      <c r="Y118" s="348" t="s">
        <v>64</v>
      </c>
      <c r="Z118" s="349" t="s">
        <v>29</v>
      </c>
      <c r="AA118" s="350">
        <v>13</v>
      </c>
      <c r="AB118" s="355" t="s">
        <v>578</v>
      </c>
      <c r="AC118" s="357">
        <v>610</v>
      </c>
      <c r="AD118" s="353">
        <f>44030+2352.9+3500-89</f>
        <v>49793.9</v>
      </c>
      <c r="AE118" s="353">
        <f>44030+2352.9+3500-89</f>
        <v>49793.9</v>
      </c>
      <c r="AF118" s="468">
        <v>49793.9</v>
      </c>
      <c r="AG118" s="478">
        <f t="shared" si="18"/>
        <v>1</v>
      </c>
      <c r="AH118" s="24"/>
      <c r="AI118" s="24"/>
      <c r="AJ118" s="115"/>
    </row>
    <row r="119" spans="1:36" x14ac:dyDescent="0.25">
      <c r="A119" s="73"/>
      <c r="B119" s="66"/>
      <c r="C119" s="67"/>
      <c r="D119" s="67"/>
      <c r="E119" s="14"/>
      <c r="F119" s="67"/>
      <c r="G119" s="68"/>
      <c r="H119" s="3"/>
      <c r="L119" s="61"/>
      <c r="N119" s="61"/>
      <c r="P119" s="68"/>
      <c r="Q119" s="69"/>
      <c r="R119" s="19"/>
      <c r="S119" s="19"/>
      <c r="T119" s="19"/>
      <c r="U119" s="19"/>
      <c r="V119" s="19"/>
      <c r="X119" s="354" t="s">
        <v>227</v>
      </c>
      <c r="Y119" s="348" t="s">
        <v>64</v>
      </c>
      <c r="Z119" s="349" t="s">
        <v>29</v>
      </c>
      <c r="AA119" s="350">
        <v>13</v>
      </c>
      <c r="AB119" s="355" t="s">
        <v>138</v>
      </c>
      <c r="AC119" s="372"/>
      <c r="AD119" s="353">
        <f>AD120+AD123</f>
        <v>32076.500000000033</v>
      </c>
      <c r="AE119" s="353">
        <f>AE120+AE123</f>
        <v>132948.50000000003</v>
      </c>
      <c r="AF119" s="468">
        <f>AF120+AF123</f>
        <v>2076.4</v>
      </c>
      <c r="AG119" s="478">
        <f t="shared" si="18"/>
        <v>1.5618077676694356E-2</v>
      </c>
      <c r="AH119" s="24"/>
      <c r="AI119" s="24"/>
      <c r="AJ119" s="115"/>
    </row>
    <row r="120" spans="1:36" x14ac:dyDescent="0.25">
      <c r="A120" s="73"/>
      <c r="B120" s="66"/>
      <c r="C120" s="67"/>
      <c r="D120" s="67"/>
      <c r="E120" s="14"/>
      <c r="F120" s="67"/>
      <c r="G120" s="68"/>
      <c r="H120" s="3"/>
      <c r="L120" s="61"/>
      <c r="N120" s="61"/>
      <c r="P120" s="68"/>
      <c r="Q120" s="69"/>
      <c r="R120" s="19"/>
      <c r="S120" s="19"/>
      <c r="T120" s="19"/>
      <c r="U120" s="19"/>
      <c r="V120" s="19"/>
      <c r="X120" s="368" t="s">
        <v>228</v>
      </c>
      <c r="Y120" s="348" t="s">
        <v>64</v>
      </c>
      <c r="Z120" s="375" t="s">
        <v>29</v>
      </c>
      <c r="AA120" s="376">
        <v>13</v>
      </c>
      <c r="AB120" s="355" t="s">
        <v>229</v>
      </c>
      <c r="AC120" s="370"/>
      <c r="AD120" s="353">
        <f t="shared" ref="AD120:AF121" si="29">AD121</f>
        <v>1887</v>
      </c>
      <c r="AE120" s="353">
        <f t="shared" si="29"/>
        <v>1887</v>
      </c>
      <c r="AF120" s="468">
        <f t="shared" si="29"/>
        <v>1886.9</v>
      </c>
      <c r="AG120" s="478">
        <f t="shared" si="18"/>
        <v>0.9999470058293588</v>
      </c>
      <c r="AH120" s="24"/>
      <c r="AI120" s="24"/>
      <c r="AJ120" s="115"/>
    </row>
    <row r="121" spans="1:36" x14ac:dyDescent="0.25">
      <c r="A121" s="73"/>
      <c r="B121" s="66"/>
      <c r="C121" s="67"/>
      <c r="D121" s="67"/>
      <c r="E121" s="14"/>
      <c r="F121" s="67"/>
      <c r="G121" s="68"/>
      <c r="H121" s="3"/>
      <c r="L121" s="61"/>
      <c r="N121" s="61"/>
      <c r="P121" s="68"/>
      <c r="Q121" s="69"/>
      <c r="R121" s="19"/>
      <c r="S121" s="19"/>
      <c r="T121" s="19"/>
      <c r="U121" s="19"/>
      <c r="V121" s="19"/>
      <c r="X121" s="358" t="s">
        <v>42</v>
      </c>
      <c r="Y121" s="371" t="s">
        <v>64</v>
      </c>
      <c r="Z121" s="375" t="s">
        <v>29</v>
      </c>
      <c r="AA121" s="376">
        <v>13</v>
      </c>
      <c r="AB121" s="355" t="s">
        <v>229</v>
      </c>
      <c r="AC121" s="370">
        <v>800</v>
      </c>
      <c r="AD121" s="353">
        <f t="shared" si="29"/>
        <v>1887</v>
      </c>
      <c r="AE121" s="353">
        <f t="shared" si="29"/>
        <v>1887</v>
      </c>
      <c r="AF121" s="468">
        <f t="shared" si="29"/>
        <v>1886.9</v>
      </c>
      <c r="AG121" s="478">
        <f t="shared" si="18"/>
        <v>0.9999470058293588</v>
      </c>
      <c r="AH121" s="24"/>
      <c r="AI121" s="24"/>
      <c r="AJ121" s="115"/>
    </row>
    <row r="122" spans="1:36" x14ac:dyDescent="0.25">
      <c r="A122" s="73"/>
      <c r="B122" s="66"/>
      <c r="C122" s="67"/>
      <c r="D122" s="67"/>
      <c r="E122" s="14"/>
      <c r="F122" s="67"/>
      <c r="G122" s="68"/>
      <c r="H122" s="3"/>
      <c r="L122" s="61"/>
      <c r="N122" s="61"/>
      <c r="P122" s="68"/>
      <c r="Q122" s="69"/>
      <c r="R122" s="19"/>
      <c r="S122" s="19"/>
      <c r="T122" s="19"/>
      <c r="U122" s="19"/>
      <c r="V122" s="19"/>
      <c r="X122" s="358" t="s">
        <v>133</v>
      </c>
      <c r="Y122" s="371" t="s">
        <v>64</v>
      </c>
      <c r="Z122" s="375" t="s">
        <v>29</v>
      </c>
      <c r="AA122" s="376">
        <v>13</v>
      </c>
      <c r="AB122" s="355" t="s">
        <v>229</v>
      </c>
      <c r="AC122" s="370">
        <v>830</v>
      </c>
      <c r="AD122" s="353">
        <f>100+1285.2+501.8</f>
        <v>1887</v>
      </c>
      <c r="AE122" s="353">
        <f>100+1285.2+501.8</f>
        <v>1887</v>
      </c>
      <c r="AF122" s="468">
        <v>1886.9</v>
      </c>
      <c r="AG122" s="478">
        <f t="shared" si="18"/>
        <v>0.9999470058293588</v>
      </c>
      <c r="AH122" s="24"/>
      <c r="AI122" s="24"/>
      <c r="AJ122" s="115"/>
    </row>
    <row r="123" spans="1:36" x14ac:dyDescent="0.25">
      <c r="A123" s="73"/>
      <c r="B123" s="66"/>
      <c r="C123" s="67"/>
      <c r="D123" s="67"/>
      <c r="E123" s="14"/>
      <c r="F123" s="67"/>
      <c r="G123" s="68"/>
      <c r="H123" s="3"/>
      <c r="L123" s="61"/>
      <c r="N123" s="61"/>
      <c r="P123" s="68"/>
      <c r="Q123" s="69"/>
      <c r="R123" s="19"/>
      <c r="S123" s="19"/>
      <c r="T123" s="19"/>
      <c r="U123" s="19"/>
      <c r="V123" s="19"/>
      <c r="X123" s="347" t="s">
        <v>453</v>
      </c>
      <c r="Y123" s="348" t="s">
        <v>64</v>
      </c>
      <c r="Z123" s="375" t="s">
        <v>29</v>
      </c>
      <c r="AA123" s="376">
        <v>13</v>
      </c>
      <c r="AB123" s="377" t="s">
        <v>454</v>
      </c>
      <c r="AC123" s="370"/>
      <c r="AD123" s="353">
        <f>AD130+AD124+AD127+AD133</f>
        <v>30189.500000000033</v>
      </c>
      <c r="AE123" s="353">
        <f t="shared" ref="AE123:AF123" si="30">AE130+AE124+AE127+AE133</f>
        <v>131061.50000000003</v>
      </c>
      <c r="AF123" s="468">
        <f t="shared" si="30"/>
        <v>189.5</v>
      </c>
      <c r="AG123" s="478">
        <f t="shared" si="18"/>
        <v>1.4458860916439988E-3</v>
      </c>
      <c r="AH123" s="24"/>
      <c r="AI123" s="24"/>
      <c r="AJ123" s="115"/>
    </row>
    <row r="124" spans="1:36" x14ac:dyDescent="0.25">
      <c r="A124" s="73"/>
      <c r="B124" s="66"/>
      <c r="C124" s="67"/>
      <c r="D124" s="67"/>
      <c r="E124" s="14"/>
      <c r="F124" s="67"/>
      <c r="G124" s="68"/>
      <c r="H124" s="3"/>
      <c r="L124" s="61"/>
      <c r="N124" s="61"/>
      <c r="P124" s="68"/>
      <c r="Q124" s="69"/>
      <c r="R124" s="19"/>
      <c r="S124" s="19"/>
      <c r="T124" s="19"/>
      <c r="U124" s="19"/>
      <c r="V124" s="19"/>
      <c r="X124" s="347" t="s">
        <v>716</v>
      </c>
      <c r="Y124" s="371" t="s">
        <v>64</v>
      </c>
      <c r="Z124" s="375" t="s">
        <v>29</v>
      </c>
      <c r="AA124" s="376">
        <v>13</v>
      </c>
      <c r="AB124" s="377" t="s">
        <v>717</v>
      </c>
      <c r="AC124" s="370"/>
      <c r="AD124" s="353">
        <f t="shared" ref="AD124:AF125" si="31">AD125</f>
        <v>80</v>
      </c>
      <c r="AE124" s="353">
        <f t="shared" si="31"/>
        <v>80</v>
      </c>
      <c r="AF124" s="468">
        <f t="shared" si="31"/>
        <v>80</v>
      </c>
      <c r="AG124" s="478">
        <f t="shared" si="18"/>
        <v>1</v>
      </c>
      <c r="AH124" s="24"/>
      <c r="AI124" s="24"/>
      <c r="AJ124" s="115"/>
    </row>
    <row r="125" spans="1:36" x14ac:dyDescent="0.25">
      <c r="A125" s="73"/>
      <c r="B125" s="66"/>
      <c r="C125" s="67"/>
      <c r="D125" s="67"/>
      <c r="E125" s="14"/>
      <c r="F125" s="67"/>
      <c r="G125" s="68"/>
      <c r="H125" s="3"/>
      <c r="L125" s="61"/>
      <c r="N125" s="61"/>
      <c r="P125" s="68"/>
      <c r="Q125" s="69"/>
      <c r="R125" s="19"/>
      <c r="S125" s="19"/>
      <c r="T125" s="19"/>
      <c r="U125" s="19"/>
      <c r="V125" s="19"/>
      <c r="X125" s="347" t="s">
        <v>42</v>
      </c>
      <c r="Y125" s="371" t="s">
        <v>64</v>
      </c>
      <c r="Z125" s="375" t="s">
        <v>29</v>
      </c>
      <c r="AA125" s="376">
        <v>13</v>
      </c>
      <c r="AB125" s="377" t="s">
        <v>717</v>
      </c>
      <c r="AC125" s="370">
        <v>800</v>
      </c>
      <c r="AD125" s="353">
        <f t="shared" si="31"/>
        <v>80</v>
      </c>
      <c r="AE125" s="353">
        <f t="shared" si="31"/>
        <v>80</v>
      </c>
      <c r="AF125" s="468">
        <f t="shared" si="31"/>
        <v>80</v>
      </c>
      <c r="AG125" s="478">
        <f t="shared" ref="AG125:AG186" si="32">AF125/AE125</f>
        <v>1</v>
      </c>
      <c r="AH125" s="24"/>
      <c r="AI125" s="24"/>
      <c r="AJ125" s="115"/>
    </row>
    <row r="126" spans="1:36" x14ac:dyDescent="0.25">
      <c r="A126" s="73"/>
      <c r="B126" s="66"/>
      <c r="C126" s="67"/>
      <c r="D126" s="67"/>
      <c r="E126" s="14"/>
      <c r="F126" s="67"/>
      <c r="G126" s="68"/>
      <c r="H126" s="3"/>
      <c r="L126" s="61"/>
      <c r="N126" s="61"/>
      <c r="P126" s="68"/>
      <c r="Q126" s="69"/>
      <c r="R126" s="19"/>
      <c r="S126" s="19"/>
      <c r="T126" s="19"/>
      <c r="U126" s="19"/>
      <c r="V126" s="19"/>
      <c r="X126" s="347" t="s">
        <v>58</v>
      </c>
      <c r="Y126" s="348" t="s">
        <v>64</v>
      </c>
      <c r="Z126" s="375" t="s">
        <v>29</v>
      </c>
      <c r="AA126" s="376">
        <v>13</v>
      </c>
      <c r="AB126" s="377" t="s">
        <v>717</v>
      </c>
      <c r="AC126" s="370">
        <v>850</v>
      </c>
      <c r="AD126" s="353">
        <f>30+50</f>
        <v>80</v>
      </c>
      <c r="AE126" s="353">
        <f>30+50</f>
        <v>80</v>
      </c>
      <c r="AF126" s="468">
        <v>80</v>
      </c>
      <c r="AG126" s="478">
        <f t="shared" si="32"/>
        <v>1</v>
      </c>
      <c r="AH126" s="24"/>
      <c r="AI126" s="24"/>
      <c r="AJ126" s="115"/>
    </row>
    <row r="127" spans="1:36" ht="47.25" x14ac:dyDescent="0.25">
      <c r="A127" s="73"/>
      <c r="B127" s="66"/>
      <c r="C127" s="67"/>
      <c r="D127" s="67"/>
      <c r="E127" s="14"/>
      <c r="F127" s="67"/>
      <c r="G127" s="68"/>
      <c r="H127" s="3"/>
      <c r="L127" s="61"/>
      <c r="N127" s="61"/>
      <c r="P127" s="68"/>
      <c r="Q127" s="69"/>
      <c r="R127" s="19"/>
      <c r="S127" s="19"/>
      <c r="T127" s="19"/>
      <c r="U127" s="19"/>
      <c r="V127" s="19"/>
      <c r="X127" s="347" t="s">
        <v>751</v>
      </c>
      <c r="Y127" s="371" t="s">
        <v>64</v>
      </c>
      <c r="Z127" s="375" t="s">
        <v>29</v>
      </c>
      <c r="AA127" s="376">
        <v>13</v>
      </c>
      <c r="AB127" s="377" t="s">
        <v>461</v>
      </c>
      <c r="AC127" s="370"/>
      <c r="AD127" s="353">
        <f>AD128</f>
        <v>109.5</v>
      </c>
      <c r="AE127" s="353">
        <f>AE128</f>
        <v>109.5</v>
      </c>
      <c r="AF127" s="468">
        <f t="shared" ref="AF127:AF128" si="33">AF128</f>
        <v>109.5</v>
      </c>
      <c r="AG127" s="478">
        <f t="shared" si="32"/>
        <v>1</v>
      </c>
      <c r="AH127" s="24"/>
      <c r="AI127" s="24"/>
      <c r="AJ127" s="115"/>
    </row>
    <row r="128" spans="1:36" x14ac:dyDescent="0.25">
      <c r="A128" s="73"/>
      <c r="B128" s="66"/>
      <c r="C128" s="67"/>
      <c r="D128" s="67"/>
      <c r="E128" s="14"/>
      <c r="F128" s="67"/>
      <c r="G128" s="68"/>
      <c r="H128" s="3"/>
      <c r="L128" s="61"/>
      <c r="N128" s="61"/>
      <c r="P128" s="68"/>
      <c r="Q128" s="69"/>
      <c r="R128" s="19"/>
      <c r="S128" s="19"/>
      <c r="T128" s="19"/>
      <c r="U128" s="19"/>
      <c r="V128" s="19"/>
      <c r="X128" s="347" t="s">
        <v>42</v>
      </c>
      <c r="Y128" s="371" t="s">
        <v>64</v>
      </c>
      <c r="Z128" s="375" t="s">
        <v>29</v>
      </c>
      <c r="AA128" s="376">
        <v>13</v>
      </c>
      <c r="AB128" s="377" t="s">
        <v>461</v>
      </c>
      <c r="AC128" s="370">
        <v>800</v>
      </c>
      <c r="AD128" s="353">
        <f>AD129</f>
        <v>109.5</v>
      </c>
      <c r="AE128" s="353">
        <f>AE129</f>
        <v>109.5</v>
      </c>
      <c r="AF128" s="468">
        <f t="shared" si="33"/>
        <v>109.5</v>
      </c>
      <c r="AG128" s="478">
        <f t="shared" si="32"/>
        <v>1</v>
      </c>
      <c r="AH128" s="24"/>
      <c r="AI128" s="24"/>
      <c r="AJ128" s="115"/>
    </row>
    <row r="129" spans="1:36" x14ac:dyDescent="0.25">
      <c r="A129" s="73"/>
      <c r="B129" s="66"/>
      <c r="C129" s="67"/>
      <c r="D129" s="67"/>
      <c r="E129" s="14"/>
      <c r="F129" s="67"/>
      <c r="G129" s="68"/>
      <c r="H129" s="3"/>
      <c r="L129" s="61"/>
      <c r="N129" s="61"/>
      <c r="P129" s="68"/>
      <c r="Q129" s="69"/>
      <c r="R129" s="19"/>
      <c r="S129" s="19"/>
      <c r="T129" s="19"/>
      <c r="U129" s="19"/>
      <c r="V129" s="19"/>
      <c r="X129" s="347" t="s">
        <v>58</v>
      </c>
      <c r="Y129" s="348" t="s">
        <v>64</v>
      </c>
      <c r="Z129" s="375" t="s">
        <v>29</v>
      </c>
      <c r="AA129" s="376">
        <v>13</v>
      </c>
      <c r="AB129" s="377" t="s">
        <v>461</v>
      </c>
      <c r="AC129" s="370">
        <v>850</v>
      </c>
      <c r="AD129" s="353">
        <v>109.5</v>
      </c>
      <c r="AE129" s="353">
        <v>109.5</v>
      </c>
      <c r="AF129" s="468">
        <v>109.5</v>
      </c>
      <c r="AG129" s="478">
        <f t="shared" si="32"/>
        <v>1</v>
      </c>
      <c r="AH129" s="24"/>
      <c r="AI129" s="24"/>
      <c r="AJ129" s="115"/>
    </row>
    <row r="130" spans="1:36" ht="31.5" x14ac:dyDescent="0.25">
      <c r="A130" s="73"/>
      <c r="B130" s="66"/>
      <c r="C130" s="67"/>
      <c r="D130" s="67"/>
      <c r="E130" s="14"/>
      <c r="F130" s="67"/>
      <c r="G130" s="68"/>
      <c r="H130" s="3"/>
      <c r="L130" s="61"/>
      <c r="N130" s="61"/>
      <c r="P130" s="68"/>
      <c r="Q130" s="69"/>
      <c r="R130" s="19"/>
      <c r="S130" s="19"/>
      <c r="T130" s="19"/>
      <c r="U130" s="19"/>
      <c r="V130" s="19"/>
      <c r="X130" s="347" t="s">
        <v>462</v>
      </c>
      <c r="Y130" s="348" t="s">
        <v>64</v>
      </c>
      <c r="Z130" s="375" t="s">
        <v>29</v>
      </c>
      <c r="AA130" s="376">
        <v>13</v>
      </c>
      <c r="AB130" s="377" t="s">
        <v>463</v>
      </c>
      <c r="AC130" s="370"/>
      <c r="AD130" s="353">
        <f t="shared" ref="AD130:AF131" si="34">AD131</f>
        <v>30000.000000000033</v>
      </c>
      <c r="AE130" s="353">
        <f t="shared" si="34"/>
        <v>30872.000000000033</v>
      </c>
      <c r="AF130" s="468">
        <f t="shared" si="34"/>
        <v>0</v>
      </c>
      <c r="AG130" s="478">
        <f t="shared" si="32"/>
        <v>0</v>
      </c>
      <c r="AH130" s="24"/>
      <c r="AI130" s="24"/>
      <c r="AJ130" s="115"/>
    </row>
    <row r="131" spans="1:36" x14ac:dyDescent="0.25">
      <c r="A131" s="73"/>
      <c r="B131" s="66"/>
      <c r="C131" s="67"/>
      <c r="D131" s="67"/>
      <c r="E131" s="14"/>
      <c r="F131" s="67"/>
      <c r="G131" s="68"/>
      <c r="H131" s="3"/>
      <c r="L131" s="61"/>
      <c r="N131" s="61"/>
      <c r="P131" s="68"/>
      <c r="Q131" s="69"/>
      <c r="R131" s="19"/>
      <c r="S131" s="19"/>
      <c r="T131" s="19"/>
      <c r="U131" s="19"/>
      <c r="V131" s="19"/>
      <c r="X131" s="347" t="s">
        <v>42</v>
      </c>
      <c r="Y131" s="348" t="s">
        <v>64</v>
      </c>
      <c r="Z131" s="375" t="s">
        <v>29</v>
      </c>
      <c r="AA131" s="376">
        <v>13</v>
      </c>
      <c r="AB131" s="377" t="s">
        <v>463</v>
      </c>
      <c r="AC131" s="370">
        <v>800</v>
      </c>
      <c r="AD131" s="353">
        <f t="shared" si="34"/>
        <v>30000.000000000033</v>
      </c>
      <c r="AE131" s="353">
        <f t="shared" si="34"/>
        <v>30872.000000000033</v>
      </c>
      <c r="AF131" s="468">
        <f t="shared" si="34"/>
        <v>0</v>
      </c>
      <c r="AG131" s="478">
        <f t="shared" si="32"/>
        <v>0</v>
      </c>
      <c r="AH131" s="24"/>
      <c r="AI131" s="24"/>
      <c r="AJ131" s="115"/>
    </row>
    <row r="132" spans="1:36" x14ac:dyDescent="0.25">
      <c r="A132" s="73"/>
      <c r="B132" s="66"/>
      <c r="C132" s="67"/>
      <c r="D132" s="67"/>
      <c r="E132" s="14"/>
      <c r="F132" s="67"/>
      <c r="G132" s="68"/>
      <c r="H132" s="3"/>
      <c r="L132" s="61"/>
      <c r="N132" s="61"/>
      <c r="P132" s="68"/>
      <c r="Q132" s="69"/>
      <c r="R132" s="19"/>
      <c r="S132" s="19"/>
      <c r="T132" s="19"/>
      <c r="U132" s="19"/>
      <c r="V132" s="19"/>
      <c r="X132" s="347" t="s">
        <v>137</v>
      </c>
      <c r="Y132" s="348" t="s">
        <v>64</v>
      </c>
      <c r="Z132" s="375" t="s">
        <v>29</v>
      </c>
      <c r="AA132" s="376">
        <v>13</v>
      </c>
      <c r="AB132" s="377" t="s">
        <v>463</v>
      </c>
      <c r="AC132" s="370">
        <v>870</v>
      </c>
      <c r="AD132" s="123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32" s="123">
        <f>15776.2+201178.8-9133.8-93-26064.9-300-15.4+1557.3-109.5-800-2152-647.4-60500+750-700-160-2857.9+60500-1717.8-60500-2000-28-60-90-180-3852.5-4280.8-1500-72-50947.3-10176.7-15388.9-1302+663.7+33237.7-820-27213.8+872</f>
        <v>30872.000000000033</v>
      </c>
      <c r="AF132" s="468">
        <f>20876.9+47560.1+17098.8+14749.8+45000+24714.5-54300.9-32638.1-16046.7-2062.4-2391.4-5164.2-26114.1-31282.3</f>
        <v>0</v>
      </c>
      <c r="AG132" s="478">
        <f t="shared" si="32"/>
        <v>0</v>
      </c>
      <c r="AH132" s="209"/>
      <c r="AI132" s="24"/>
      <c r="AJ132" s="115"/>
    </row>
    <row r="133" spans="1:36" x14ac:dyDescent="0.25">
      <c r="A133" s="73"/>
      <c r="B133" s="66"/>
      <c r="C133" s="67"/>
      <c r="D133" s="67"/>
      <c r="E133" s="14"/>
      <c r="F133" s="67"/>
      <c r="G133" s="68"/>
      <c r="H133" s="3"/>
      <c r="L133" s="61"/>
      <c r="N133" s="61"/>
      <c r="P133" s="68"/>
      <c r="Q133" s="69"/>
      <c r="R133" s="19"/>
      <c r="S133" s="19"/>
      <c r="T133" s="19"/>
      <c r="U133" s="19"/>
      <c r="V133" s="19"/>
      <c r="X133" s="347" t="s">
        <v>829</v>
      </c>
      <c r="Y133" s="348" t="s">
        <v>64</v>
      </c>
      <c r="Z133" s="375" t="s">
        <v>29</v>
      </c>
      <c r="AA133" s="376">
        <v>13</v>
      </c>
      <c r="AB133" s="377" t="str">
        <f>AB134</f>
        <v>99 0 00 04007</v>
      </c>
      <c r="AC133" s="370"/>
      <c r="AD133" s="123">
        <f>AD134</f>
        <v>0</v>
      </c>
      <c r="AE133" s="123">
        <f t="shared" ref="AE133:AF134" si="35">AE134</f>
        <v>100000</v>
      </c>
      <c r="AF133" s="313">
        <f t="shared" si="35"/>
        <v>0</v>
      </c>
      <c r="AG133" s="478">
        <f t="shared" si="32"/>
        <v>0</v>
      </c>
      <c r="AH133" s="209"/>
      <c r="AI133" s="24"/>
      <c r="AJ133" s="115"/>
    </row>
    <row r="134" spans="1:36" x14ac:dyDescent="0.25">
      <c r="A134" s="73"/>
      <c r="B134" s="66"/>
      <c r="C134" s="67"/>
      <c r="D134" s="67"/>
      <c r="E134" s="14"/>
      <c r="F134" s="67"/>
      <c r="G134" s="68"/>
      <c r="H134" s="3"/>
      <c r="L134" s="61"/>
      <c r="N134" s="61"/>
      <c r="P134" s="68"/>
      <c r="Q134" s="69"/>
      <c r="R134" s="19"/>
      <c r="S134" s="19"/>
      <c r="T134" s="19"/>
      <c r="U134" s="19"/>
      <c r="V134" s="19"/>
      <c r="X134" s="347" t="s">
        <v>42</v>
      </c>
      <c r="Y134" s="348" t="s">
        <v>64</v>
      </c>
      <c r="Z134" s="375" t="s">
        <v>29</v>
      </c>
      <c r="AA134" s="376">
        <v>13</v>
      </c>
      <c r="AB134" s="377" t="str">
        <f>AB135</f>
        <v>99 0 00 04007</v>
      </c>
      <c r="AC134" s="370">
        <v>800</v>
      </c>
      <c r="AD134" s="123">
        <f>AD135</f>
        <v>0</v>
      </c>
      <c r="AE134" s="123">
        <f t="shared" si="35"/>
        <v>100000</v>
      </c>
      <c r="AF134" s="313">
        <f t="shared" si="35"/>
        <v>0</v>
      </c>
      <c r="AG134" s="478">
        <f t="shared" si="32"/>
        <v>0</v>
      </c>
      <c r="AH134" s="209"/>
      <c r="AI134" s="24"/>
      <c r="AJ134" s="115"/>
    </row>
    <row r="135" spans="1:36" x14ac:dyDescent="0.25">
      <c r="A135" s="73"/>
      <c r="B135" s="66"/>
      <c r="C135" s="67"/>
      <c r="D135" s="67"/>
      <c r="E135" s="14"/>
      <c r="F135" s="67"/>
      <c r="G135" s="68"/>
      <c r="H135" s="3"/>
      <c r="L135" s="61"/>
      <c r="N135" s="61"/>
      <c r="P135" s="68"/>
      <c r="Q135" s="69"/>
      <c r="R135" s="19"/>
      <c r="S135" s="19"/>
      <c r="T135" s="19"/>
      <c r="U135" s="19"/>
      <c r="V135" s="19"/>
      <c r="X135" s="347" t="s">
        <v>137</v>
      </c>
      <c r="Y135" s="348" t="s">
        <v>64</v>
      </c>
      <c r="Z135" s="375" t="s">
        <v>29</v>
      </c>
      <c r="AA135" s="376">
        <v>13</v>
      </c>
      <c r="AB135" s="377" t="s">
        <v>830</v>
      </c>
      <c r="AC135" s="370">
        <v>870</v>
      </c>
      <c r="AD135" s="123">
        <v>0</v>
      </c>
      <c r="AE135" s="123">
        <v>100000</v>
      </c>
      <c r="AF135" s="468">
        <v>0</v>
      </c>
      <c r="AG135" s="478">
        <f t="shared" si="32"/>
        <v>0</v>
      </c>
      <c r="AH135" s="209"/>
      <c r="AI135" s="24"/>
      <c r="AJ135" s="115"/>
    </row>
    <row r="136" spans="1:36" s="76" customFormat="1" x14ac:dyDescent="0.25">
      <c r="A136" s="56"/>
      <c r="B136" s="57"/>
      <c r="C136" s="59"/>
      <c r="D136" s="59"/>
      <c r="E136" s="60"/>
      <c r="F136" s="60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3"/>
      <c r="R136" s="64"/>
      <c r="S136" s="64"/>
      <c r="T136" s="64"/>
      <c r="U136" s="64"/>
      <c r="V136" s="64"/>
      <c r="W136" s="64"/>
      <c r="X136" s="340" t="s">
        <v>11</v>
      </c>
      <c r="Y136" s="341" t="s">
        <v>64</v>
      </c>
      <c r="Z136" s="378" t="s">
        <v>30</v>
      </c>
      <c r="AA136" s="343"/>
      <c r="AB136" s="344"/>
      <c r="AC136" s="345"/>
      <c r="AD136" s="346">
        <f>AD137+AD144</f>
        <v>4784.3</v>
      </c>
      <c r="AE136" s="346">
        <f>AE137+AE144</f>
        <v>4784.3</v>
      </c>
      <c r="AF136" s="467">
        <f>AF137+AF144</f>
        <v>4784.3</v>
      </c>
      <c r="AG136" s="477">
        <f t="shared" si="32"/>
        <v>1</v>
      </c>
      <c r="AH136" s="160"/>
      <c r="AI136" s="160"/>
      <c r="AJ136" s="115"/>
    </row>
    <row r="137" spans="1:36" x14ac:dyDescent="0.25">
      <c r="A137" s="77"/>
      <c r="B137" s="66"/>
      <c r="C137" s="67"/>
      <c r="D137" s="67"/>
      <c r="E137" s="14"/>
      <c r="F137" s="14"/>
      <c r="G137" s="68"/>
      <c r="H137" s="68"/>
      <c r="I137" s="68"/>
      <c r="J137" s="68"/>
      <c r="K137" s="68"/>
      <c r="L137" s="61"/>
      <c r="M137" s="68"/>
      <c r="N137" s="61"/>
      <c r="O137" s="68"/>
      <c r="P137" s="68"/>
      <c r="Q137" s="69"/>
      <c r="R137" s="19"/>
      <c r="S137" s="19"/>
      <c r="T137" s="19"/>
      <c r="U137" s="19"/>
      <c r="V137" s="19"/>
      <c r="X137" s="347" t="s">
        <v>12</v>
      </c>
      <c r="Y137" s="348" t="s">
        <v>64</v>
      </c>
      <c r="Z137" s="349" t="s">
        <v>30</v>
      </c>
      <c r="AA137" s="350" t="s">
        <v>7</v>
      </c>
      <c r="AB137" s="351"/>
      <c r="AC137" s="352"/>
      <c r="AD137" s="353">
        <f>AD138</f>
        <v>4299.3</v>
      </c>
      <c r="AE137" s="353">
        <f>AE138</f>
        <v>4299.3</v>
      </c>
      <c r="AF137" s="468">
        <f>AF138</f>
        <v>4299.3</v>
      </c>
      <c r="AG137" s="478">
        <f t="shared" si="32"/>
        <v>1</v>
      </c>
      <c r="AH137" s="24"/>
      <c r="AI137" s="24"/>
      <c r="AJ137" s="115"/>
    </row>
    <row r="138" spans="1:36" ht="31.5" x14ac:dyDescent="0.25">
      <c r="B138" s="66"/>
      <c r="C138" s="67"/>
      <c r="D138" s="67"/>
      <c r="E138" s="14"/>
      <c r="F138" s="14"/>
      <c r="G138" s="68"/>
      <c r="H138" s="68"/>
      <c r="I138" s="68"/>
      <c r="J138" s="68"/>
      <c r="K138" s="68"/>
      <c r="L138" s="61"/>
      <c r="M138" s="68"/>
      <c r="N138" s="61"/>
      <c r="O138" s="68"/>
      <c r="P138" s="68"/>
      <c r="Q138" s="69"/>
      <c r="R138" s="19"/>
      <c r="S138" s="19"/>
      <c r="T138" s="19"/>
      <c r="U138" s="19"/>
      <c r="V138" s="19"/>
      <c r="X138" s="356" t="s">
        <v>306</v>
      </c>
      <c r="Y138" s="348" t="s">
        <v>64</v>
      </c>
      <c r="Z138" s="349" t="s">
        <v>30</v>
      </c>
      <c r="AA138" s="350" t="s">
        <v>7</v>
      </c>
      <c r="AB138" s="355" t="s">
        <v>132</v>
      </c>
      <c r="AC138" s="352"/>
      <c r="AD138" s="353">
        <f t="shared" ref="AD138:AF141" si="36">AD139</f>
        <v>4299.3</v>
      </c>
      <c r="AE138" s="353">
        <f t="shared" si="36"/>
        <v>4299.3</v>
      </c>
      <c r="AF138" s="468">
        <f t="shared" si="36"/>
        <v>4299.3</v>
      </c>
      <c r="AG138" s="478">
        <f t="shared" si="32"/>
        <v>1</v>
      </c>
      <c r="AH138" s="24"/>
      <c r="AI138" s="24"/>
      <c r="AJ138" s="115"/>
    </row>
    <row r="139" spans="1:36" x14ac:dyDescent="0.25">
      <c r="B139" s="66"/>
      <c r="C139" s="67"/>
      <c r="D139" s="67"/>
      <c r="E139" s="14"/>
      <c r="F139" s="14"/>
      <c r="G139" s="68"/>
      <c r="H139" s="68"/>
      <c r="I139" s="68"/>
      <c r="J139" s="68"/>
      <c r="K139" s="68"/>
      <c r="L139" s="61"/>
      <c r="M139" s="68"/>
      <c r="N139" s="61"/>
      <c r="O139" s="68"/>
      <c r="P139" s="68"/>
      <c r="Q139" s="69"/>
      <c r="R139" s="19"/>
      <c r="S139" s="19"/>
      <c r="T139" s="19"/>
      <c r="U139" s="19"/>
      <c r="V139" s="19"/>
      <c r="X139" s="356" t="s">
        <v>47</v>
      </c>
      <c r="Y139" s="348" t="s">
        <v>64</v>
      </c>
      <c r="Z139" s="349" t="s">
        <v>30</v>
      </c>
      <c r="AA139" s="350" t="s">
        <v>7</v>
      </c>
      <c r="AB139" s="355" t="s">
        <v>475</v>
      </c>
      <c r="AC139" s="352"/>
      <c r="AD139" s="353">
        <f t="shared" si="36"/>
        <v>4299.3</v>
      </c>
      <c r="AE139" s="353">
        <f t="shared" si="36"/>
        <v>4299.3</v>
      </c>
      <c r="AF139" s="468">
        <f t="shared" si="36"/>
        <v>4299.3</v>
      </c>
      <c r="AG139" s="478">
        <f t="shared" si="32"/>
        <v>1</v>
      </c>
      <c r="AH139" s="24"/>
      <c r="AI139" s="24"/>
      <c r="AJ139" s="115"/>
    </row>
    <row r="140" spans="1:36" x14ac:dyDescent="0.25">
      <c r="B140" s="66"/>
      <c r="C140" s="67"/>
      <c r="D140" s="67"/>
      <c r="E140" s="14"/>
      <c r="F140" s="14"/>
      <c r="G140" s="68"/>
      <c r="H140" s="68"/>
      <c r="I140" s="68"/>
      <c r="J140" s="68"/>
      <c r="K140" s="68"/>
      <c r="L140" s="61"/>
      <c r="M140" s="68"/>
      <c r="N140" s="61"/>
      <c r="O140" s="68"/>
      <c r="P140" s="68"/>
      <c r="Q140" s="69"/>
      <c r="R140" s="19"/>
      <c r="S140" s="19"/>
      <c r="T140" s="19"/>
      <c r="U140" s="19"/>
      <c r="V140" s="19"/>
      <c r="X140" s="365" t="s">
        <v>488</v>
      </c>
      <c r="Y140" s="348" t="s">
        <v>64</v>
      </c>
      <c r="Z140" s="349" t="s">
        <v>30</v>
      </c>
      <c r="AA140" s="350" t="s">
        <v>7</v>
      </c>
      <c r="AB140" s="355" t="s">
        <v>476</v>
      </c>
      <c r="AC140" s="352"/>
      <c r="AD140" s="353">
        <f t="shared" si="36"/>
        <v>4299.3</v>
      </c>
      <c r="AE140" s="353">
        <f t="shared" si="36"/>
        <v>4299.3</v>
      </c>
      <c r="AF140" s="468">
        <f t="shared" si="36"/>
        <v>4299.3</v>
      </c>
      <c r="AG140" s="478">
        <f t="shared" si="32"/>
        <v>1</v>
      </c>
      <c r="AH140" s="24"/>
      <c r="AI140" s="24"/>
      <c r="AJ140" s="115"/>
    </row>
    <row r="141" spans="1:36" s="76" customFormat="1" ht="32.450000000000003" customHeight="1" x14ac:dyDescent="0.25">
      <c r="A141" s="78"/>
      <c r="B141" s="57"/>
      <c r="C141" s="59"/>
      <c r="D141" s="59"/>
      <c r="E141" s="60"/>
      <c r="F141" s="65"/>
      <c r="G141" s="61"/>
      <c r="H141" s="61"/>
      <c r="I141" s="61"/>
      <c r="J141" s="61"/>
      <c r="K141" s="61"/>
      <c r="L141" s="61"/>
      <c r="M141" s="61"/>
      <c r="N141" s="61"/>
      <c r="O141" s="62"/>
      <c r="P141" s="61"/>
      <c r="Q141" s="63"/>
      <c r="R141" s="64"/>
      <c r="S141" s="64"/>
      <c r="T141" s="64"/>
      <c r="U141" s="64"/>
      <c r="V141" s="64"/>
      <c r="W141" s="65"/>
      <c r="X141" s="356" t="s">
        <v>487</v>
      </c>
      <c r="Y141" s="348" t="s">
        <v>64</v>
      </c>
      <c r="Z141" s="349" t="s">
        <v>30</v>
      </c>
      <c r="AA141" s="350" t="s">
        <v>7</v>
      </c>
      <c r="AB141" s="355" t="s">
        <v>483</v>
      </c>
      <c r="AC141" s="379"/>
      <c r="AD141" s="353">
        <f>AD142</f>
        <v>4299.3</v>
      </c>
      <c r="AE141" s="353">
        <f>AE142</f>
        <v>4299.3</v>
      </c>
      <c r="AF141" s="468">
        <f t="shared" si="36"/>
        <v>4299.3</v>
      </c>
      <c r="AG141" s="478">
        <f t="shared" si="32"/>
        <v>1</v>
      </c>
      <c r="AH141" s="24"/>
      <c r="AI141" s="24"/>
      <c r="AJ141" s="115"/>
    </row>
    <row r="142" spans="1:36" ht="47.25" x14ac:dyDescent="0.25">
      <c r="A142" s="79"/>
      <c r="B142" s="66"/>
      <c r="C142" s="67"/>
      <c r="D142" s="67"/>
      <c r="E142" s="14"/>
      <c r="F142" s="80"/>
      <c r="G142" s="68"/>
      <c r="H142" s="68"/>
      <c r="I142" s="68"/>
      <c r="J142" s="68"/>
      <c r="K142" s="68"/>
      <c r="L142" s="61"/>
      <c r="M142" s="68"/>
      <c r="N142" s="61"/>
      <c r="O142" s="74"/>
      <c r="P142" s="68"/>
      <c r="Q142" s="69"/>
      <c r="R142" s="19"/>
      <c r="S142" s="19"/>
      <c r="T142" s="19"/>
      <c r="U142" s="19"/>
      <c r="V142" s="19"/>
      <c r="W142" s="80"/>
      <c r="X142" s="347" t="s">
        <v>41</v>
      </c>
      <c r="Y142" s="348" t="s">
        <v>64</v>
      </c>
      <c r="Z142" s="349" t="s">
        <v>30</v>
      </c>
      <c r="AA142" s="350" t="s">
        <v>7</v>
      </c>
      <c r="AB142" s="355" t="s">
        <v>483</v>
      </c>
      <c r="AC142" s="357">
        <v>100</v>
      </c>
      <c r="AD142" s="353">
        <f>AD143</f>
        <v>4299.3</v>
      </c>
      <c r="AE142" s="353">
        <f>AE143</f>
        <v>4299.3</v>
      </c>
      <c r="AF142" s="468">
        <f>AF143</f>
        <v>4299.3</v>
      </c>
      <c r="AG142" s="478">
        <f t="shared" si="32"/>
        <v>1</v>
      </c>
      <c r="AH142" s="24"/>
      <c r="AI142" s="24"/>
      <c r="AJ142" s="115"/>
    </row>
    <row r="143" spans="1:36" x14ac:dyDescent="0.25">
      <c r="A143" s="73"/>
      <c r="B143" s="66"/>
      <c r="C143" s="67"/>
      <c r="D143" s="67"/>
      <c r="E143" s="14"/>
      <c r="F143" s="67"/>
      <c r="G143" s="68"/>
      <c r="H143" s="80"/>
      <c r="I143" s="80"/>
      <c r="J143" s="80"/>
      <c r="K143" s="80"/>
      <c r="L143" s="61"/>
      <c r="M143" s="80"/>
      <c r="N143" s="61"/>
      <c r="O143" s="74"/>
      <c r="P143" s="68"/>
      <c r="Q143" s="69"/>
      <c r="R143" s="19"/>
      <c r="S143" s="19"/>
      <c r="T143" s="19"/>
      <c r="U143" s="19"/>
      <c r="V143" s="19"/>
      <c r="W143" s="80"/>
      <c r="X143" s="347" t="s">
        <v>97</v>
      </c>
      <c r="Y143" s="348" t="s">
        <v>64</v>
      </c>
      <c r="Z143" s="349" t="s">
        <v>30</v>
      </c>
      <c r="AA143" s="350" t="s">
        <v>7</v>
      </c>
      <c r="AB143" s="355" t="s">
        <v>483</v>
      </c>
      <c r="AC143" s="357">
        <v>120</v>
      </c>
      <c r="AD143" s="353">
        <f>4249.2+45+5.1</f>
        <v>4299.3</v>
      </c>
      <c r="AE143" s="353">
        <f>4249.2+45+5.1</f>
        <v>4299.3</v>
      </c>
      <c r="AF143" s="468">
        <v>4299.3</v>
      </c>
      <c r="AG143" s="478">
        <f t="shared" si="32"/>
        <v>1</v>
      </c>
      <c r="AH143" s="24"/>
      <c r="AI143" s="24"/>
      <c r="AJ143" s="115"/>
    </row>
    <row r="144" spans="1:36" x14ac:dyDescent="0.25">
      <c r="A144" s="73"/>
      <c r="B144" s="66"/>
      <c r="C144" s="67"/>
      <c r="D144" s="67"/>
      <c r="E144" s="14"/>
      <c r="F144" s="67"/>
      <c r="G144" s="68"/>
      <c r="H144" s="80"/>
      <c r="I144" s="80"/>
      <c r="J144" s="80"/>
      <c r="K144" s="80"/>
      <c r="L144" s="61"/>
      <c r="M144" s="80"/>
      <c r="N144" s="61"/>
      <c r="O144" s="74"/>
      <c r="P144" s="68"/>
      <c r="Q144" s="69"/>
      <c r="R144" s="19"/>
      <c r="S144" s="19"/>
      <c r="T144" s="19"/>
      <c r="U144" s="19"/>
      <c r="V144" s="19"/>
      <c r="W144" s="80"/>
      <c r="X144" s="347" t="s">
        <v>46</v>
      </c>
      <c r="Y144" s="348" t="s">
        <v>64</v>
      </c>
      <c r="Z144" s="349" t="s">
        <v>30</v>
      </c>
      <c r="AA144" s="350" t="s">
        <v>48</v>
      </c>
      <c r="AB144" s="351"/>
      <c r="AC144" s="357"/>
      <c r="AD144" s="353">
        <f t="shared" ref="AD144:AF149" si="37">AD145</f>
        <v>485</v>
      </c>
      <c r="AE144" s="353">
        <f t="shared" si="37"/>
        <v>485</v>
      </c>
      <c r="AF144" s="468">
        <f t="shared" si="37"/>
        <v>485</v>
      </c>
      <c r="AG144" s="478">
        <f t="shared" si="32"/>
        <v>1</v>
      </c>
      <c r="AH144" s="24"/>
      <c r="AI144" s="24"/>
      <c r="AJ144" s="115"/>
    </row>
    <row r="145" spans="1:36" x14ac:dyDescent="0.25">
      <c r="A145" s="73"/>
      <c r="B145" s="66"/>
      <c r="C145" s="67"/>
      <c r="D145" s="67"/>
      <c r="E145" s="14"/>
      <c r="F145" s="67"/>
      <c r="G145" s="68"/>
      <c r="H145" s="80"/>
      <c r="I145" s="80"/>
      <c r="J145" s="80"/>
      <c r="K145" s="80"/>
      <c r="L145" s="61"/>
      <c r="M145" s="80"/>
      <c r="N145" s="61"/>
      <c r="O145" s="74"/>
      <c r="P145" s="68"/>
      <c r="Q145" s="69"/>
      <c r="R145" s="19"/>
      <c r="S145" s="19"/>
      <c r="T145" s="19"/>
      <c r="U145" s="19"/>
      <c r="V145" s="19"/>
      <c r="W145" s="80"/>
      <c r="X145" s="354" t="s">
        <v>187</v>
      </c>
      <c r="Y145" s="348" t="s">
        <v>64</v>
      </c>
      <c r="Z145" s="349" t="s">
        <v>30</v>
      </c>
      <c r="AA145" s="350" t="s">
        <v>48</v>
      </c>
      <c r="AB145" s="355" t="s">
        <v>113</v>
      </c>
      <c r="AC145" s="357"/>
      <c r="AD145" s="353">
        <f t="shared" si="37"/>
        <v>485</v>
      </c>
      <c r="AE145" s="353">
        <f t="shared" si="37"/>
        <v>485</v>
      </c>
      <c r="AF145" s="468">
        <f t="shared" si="37"/>
        <v>485</v>
      </c>
      <c r="AG145" s="478">
        <f t="shared" si="32"/>
        <v>1</v>
      </c>
      <c r="AH145" s="24"/>
      <c r="AI145" s="24"/>
      <c r="AJ145" s="115"/>
    </row>
    <row r="146" spans="1:36" x14ac:dyDescent="0.25">
      <c r="A146" s="73"/>
      <c r="B146" s="66"/>
      <c r="C146" s="67"/>
      <c r="D146" s="67"/>
      <c r="E146" s="14"/>
      <c r="F146" s="67"/>
      <c r="G146" s="68"/>
      <c r="H146" s="80"/>
      <c r="I146" s="80"/>
      <c r="J146" s="80"/>
      <c r="K146" s="80"/>
      <c r="L146" s="61"/>
      <c r="M146" s="80"/>
      <c r="N146" s="61"/>
      <c r="O146" s="74"/>
      <c r="P146" s="68"/>
      <c r="Q146" s="69"/>
      <c r="R146" s="19"/>
      <c r="S146" s="19"/>
      <c r="T146" s="19"/>
      <c r="U146" s="19"/>
      <c r="V146" s="19"/>
      <c r="W146" s="80"/>
      <c r="X146" s="354" t="s">
        <v>191</v>
      </c>
      <c r="Y146" s="348" t="s">
        <v>64</v>
      </c>
      <c r="Z146" s="349" t="s">
        <v>30</v>
      </c>
      <c r="AA146" s="350" t="s">
        <v>48</v>
      </c>
      <c r="AB146" s="355" t="s">
        <v>192</v>
      </c>
      <c r="AC146" s="357"/>
      <c r="AD146" s="353">
        <f t="shared" ref="AD146:AF147" si="38">AD147</f>
        <v>485</v>
      </c>
      <c r="AE146" s="353">
        <f t="shared" si="38"/>
        <v>485</v>
      </c>
      <c r="AF146" s="468">
        <f t="shared" si="38"/>
        <v>485</v>
      </c>
      <c r="AG146" s="478">
        <f t="shared" si="32"/>
        <v>1</v>
      </c>
      <c r="AH146" s="24"/>
      <c r="AI146" s="24"/>
      <c r="AJ146" s="115"/>
    </row>
    <row r="147" spans="1:36" ht="31.5" x14ac:dyDescent="0.25">
      <c r="A147" s="73"/>
      <c r="B147" s="66"/>
      <c r="C147" s="67"/>
      <c r="D147" s="67"/>
      <c r="E147" s="14"/>
      <c r="F147" s="67"/>
      <c r="G147" s="68"/>
      <c r="H147" s="80"/>
      <c r="I147" s="80"/>
      <c r="J147" s="80"/>
      <c r="K147" s="80"/>
      <c r="L147" s="61"/>
      <c r="M147" s="80"/>
      <c r="N147" s="61"/>
      <c r="O147" s="74"/>
      <c r="P147" s="68"/>
      <c r="Q147" s="69"/>
      <c r="R147" s="19"/>
      <c r="S147" s="19"/>
      <c r="T147" s="19"/>
      <c r="U147" s="19"/>
      <c r="V147" s="19"/>
      <c r="W147" s="80"/>
      <c r="X147" s="354" t="s">
        <v>193</v>
      </c>
      <c r="Y147" s="348" t="s">
        <v>64</v>
      </c>
      <c r="Z147" s="349" t="s">
        <v>30</v>
      </c>
      <c r="AA147" s="350" t="s">
        <v>48</v>
      </c>
      <c r="AB147" s="355" t="s">
        <v>194</v>
      </c>
      <c r="AC147" s="357"/>
      <c r="AD147" s="353">
        <f t="shared" si="38"/>
        <v>485</v>
      </c>
      <c r="AE147" s="353">
        <f t="shared" si="38"/>
        <v>485</v>
      </c>
      <c r="AF147" s="468">
        <f t="shared" si="38"/>
        <v>485</v>
      </c>
      <c r="AG147" s="478">
        <f t="shared" si="32"/>
        <v>1</v>
      </c>
      <c r="AH147" s="24"/>
      <c r="AI147" s="24"/>
      <c r="AJ147" s="115"/>
    </row>
    <row r="148" spans="1:36" x14ac:dyDescent="0.25">
      <c r="A148" s="72"/>
      <c r="B148" s="66"/>
      <c r="C148" s="67"/>
      <c r="D148" s="67"/>
      <c r="E148" s="14"/>
      <c r="F148" s="60"/>
      <c r="G148" s="68"/>
      <c r="H148" s="68"/>
      <c r="I148" s="68"/>
      <c r="J148" s="68"/>
      <c r="K148" s="68"/>
      <c r="L148" s="61"/>
      <c r="M148" s="68"/>
      <c r="N148" s="61"/>
      <c r="P148" s="68"/>
      <c r="Q148" s="69"/>
      <c r="R148" s="19"/>
      <c r="S148" s="19"/>
      <c r="T148" s="19"/>
      <c r="U148" s="19"/>
      <c r="V148" s="19"/>
      <c r="W148" s="19"/>
      <c r="X148" s="368" t="s">
        <v>223</v>
      </c>
      <c r="Y148" s="348" t="s">
        <v>64</v>
      </c>
      <c r="Z148" s="349" t="s">
        <v>30</v>
      </c>
      <c r="AA148" s="350" t="s">
        <v>48</v>
      </c>
      <c r="AB148" s="363" t="s">
        <v>224</v>
      </c>
      <c r="AC148" s="345"/>
      <c r="AD148" s="353">
        <f t="shared" si="37"/>
        <v>485</v>
      </c>
      <c r="AE148" s="353">
        <f t="shared" si="37"/>
        <v>485</v>
      </c>
      <c r="AF148" s="468">
        <f t="shared" si="37"/>
        <v>485</v>
      </c>
      <c r="AG148" s="478">
        <f t="shared" si="32"/>
        <v>1</v>
      </c>
      <c r="AH148" s="24"/>
      <c r="AI148" s="24"/>
      <c r="AJ148" s="115"/>
    </row>
    <row r="149" spans="1:36" x14ac:dyDescent="0.25">
      <c r="A149" s="72"/>
      <c r="B149" s="66"/>
      <c r="C149" s="67"/>
      <c r="D149" s="67"/>
      <c r="E149" s="14"/>
      <c r="F149" s="60"/>
      <c r="G149" s="68"/>
      <c r="H149" s="68"/>
      <c r="I149" s="68"/>
      <c r="J149" s="68"/>
      <c r="K149" s="68"/>
      <c r="L149" s="61"/>
      <c r="M149" s="68"/>
      <c r="N149" s="61"/>
      <c r="P149" s="68"/>
      <c r="Q149" s="69"/>
      <c r="R149" s="19"/>
      <c r="S149" s="19"/>
      <c r="T149" s="19"/>
      <c r="U149" s="19"/>
      <c r="V149" s="19"/>
      <c r="W149" s="19"/>
      <c r="X149" s="347" t="s">
        <v>121</v>
      </c>
      <c r="Y149" s="348" t="s">
        <v>64</v>
      </c>
      <c r="Z149" s="349" t="s">
        <v>30</v>
      </c>
      <c r="AA149" s="350" t="s">
        <v>48</v>
      </c>
      <c r="AB149" s="363" t="s">
        <v>224</v>
      </c>
      <c r="AC149" s="380">
        <v>200</v>
      </c>
      <c r="AD149" s="353">
        <f t="shared" si="37"/>
        <v>485</v>
      </c>
      <c r="AE149" s="353">
        <f t="shared" si="37"/>
        <v>485</v>
      </c>
      <c r="AF149" s="468">
        <f t="shared" si="37"/>
        <v>485</v>
      </c>
      <c r="AG149" s="478">
        <f t="shared" si="32"/>
        <v>1</v>
      </c>
      <c r="AH149" s="24"/>
      <c r="AI149" s="24"/>
      <c r="AJ149" s="115"/>
    </row>
    <row r="150" spans="1:36" ht="31.5" x14ac:dyDescent="0.25">
      <c r="A150" s="72"/>
      <c r="B150" s="66"/>
      <c r="C150" s="67"/>
      <c r="D150" s="67"/>
      <c r="E150" s="14"/>
      <c r="F150" s="60"/>
      <c r="G150" s="68"/>
      <c r="H150" s="68"/>
      <c r="I150" s="68"/>
      <c r="J150" s="68"/>
      <c r="K150" s="68"/>
      <c r="L150" s="61"/>
      <c r="M150" s="68"/>
      <c r="N150" s="61"/>
      <c r="P150" s="68"/>
      <c r="Q150" s="69"/>
      <c r="R150" s="19"/>
      <c r="S150" s="19"/>
      <c r="T150" s="19"/>
      <c r="U150" s="19"/>
      <c r="V150" s="19"/>
      <c r="W150" s="19"/>
      <c r="X150" s="347" t="s">
        <v>52</v>
      </c>
      <c r="Y150" s="348" t="s">
        <v>64</v>
      </c>
      <c r="Z150" s="349" t="s">
        <v>30</v>
      </c>
      <c r="AA150" s="350" t="s">
        <v>48</v>
      </c>
      <c r="AB150" s="363" t="s">
        <v>224</v>
      </c>
      <c r="AC150" s="380">
        <v>240</v>
      </c>
      <c r="AD150" s="353">
        <f>630-145</f>
        <v>485</v>
      </c>
      <c r="AE150" s="353">
        <f>630-145</f>
        <v>485</v>
      </c>
      <c r="AF150" s="468">
        <v>485</v>
      </c>
      <c r="AG150" s="478">
        <f t="shared" si="32"/>
        <v>1</v>
      </c>
      <c r="AH150" s="24"/>
      <c r="AI150" s="24"/>
      <c r="AJ150" s="115"/>
    </row>
    <row r="151" spans="1:36" s="65" customFormat="1" x14ac:dyDescent="0.25">
      <c r="A151" s="56"/>
      <c r="B151" s="57"/>
      <c r="C151" s="59"/>
      <c r="D151" s="59"/>
      <c r="E151" s="60"/>
      <c r="F151" s="60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3"/>
      <c r="R151" s="64"/>
      <c r="S151" s="64"/>
      <c r="T151" s="64"/>
      <c r="U151" s="64"/>
      <c r="V151" s="64"/>
      <c r="W151" s="64"/>
      <c r="X151" s="340" t="s">
        <v>45</v>
      </c>
      <c r="Y151" s="341" t="s">
        <v>64</v>
      </c>
      <c r="Z151" s="378" t="s">
        <v>7</v>
      </c>
      <c r="AA151" s="343"/>
      <c r="AB151" s="344"/>
      <c r="AC151" s="345"/>
      <c r="AD151" s="346">
        <f>AD152+AD163+AD193</f>
        <v>45977.1</v>
      </c>
      <c r="AE151" s="346">
        <f>AE152+AE163+AE193</f>
        <v>45976.899999999994</v>
      </c>
      <c r="AF151" s="467">
        <f>AF152+AF163+AF193</f>
        <v>43949.4</v>
      </c>
      <c r="AG151" s="477">
        <f t="shared" si="32"/>
        <v>0.95590176806178773</v>
      </c>
      <c r="AH151" s="160"/>
      <c r="AI151" s="160"/>
      <c r="AJ151" s="115"/>
    </row>
    <row r="152" spans="1:36" s="80" customFormat="1" x14ac:dyDescent="0.25">
      <c r="A152" s="75"/>
      <c r="B152" s="66"/>
      <c r="C152" s="67"/>
      <c r="D152" s="67"/>
      <c r="E152" s="14"/>
      <c r="F152" s="14"/>
      <c r="G152" s="68"/>
      <c r="H152" s="68"/>
      <c r="I152" s="68"/>
      <c r="J152" s="68"/>
      <c r="K152" s="68"/>
      <c r="L152" s="61"/>
      <c r="M152" s="68"/>
      <c r="N152" s="61"/>
      <c r="O152" s="68"/>
      <c r="P152" s="68"/>
      <c r="Q152" s="69"/>
      <c r="R152" s="19"/>
      <c r="S152" s="19"/>
      <c r="T152" s="19"/>
      <c r="U152" s="19"/>
      <c r="V152" s="19"/>
      <c r="W152" s="19"/>
      <c r="X152" s="347" t="s">
        <v>384</v>
      </c>
      <c r="Y152" s="348" t="s">
        <v>64</v>
      </c>
      <c r="Z152" s="349" t="s">
        <v>7</v>
      </c>
      <c r="AA152" s="350" t="s">
        <v>22</v>
      </c>
      <c r="AB152" s="351"/>
      <c r="AC152" s="352"/>
      <c r="AD152" s="353">
        <f t="shared" ref="AD152:AF153" si="39">AD153</f>
        <v>1437.5</v>
      </c>
      <c r="AE152" s="353">
        <f t="shared" si="39"/>
        <v>1437.4</v>
      </c>
      <c r="AF152" s="468">
        <f t="shared" si="39"/>
        <v>1424</v>
      </c>
      <c r="AG152" s="478">
        <f t="shared" si="32"/>
        <v>0.99067761235564211</v>
      </c>
      <c r="AH152" s="24"/>
      <c r="AI152" s="24"/>
      <c r="AJ152" s="115"/>
    </row>
    <row r="153" spans="1:36" s="80" customFormat="1" ht="31.5" x14ac:dyDescent="0.25">
      <c r="A153" s="75"/>
      <c r="B153" s="66"/>
      <c r="C153" s="67"/>
      <c r="D153" s="67"/>
      <c r="E153" s="14"/>
      <c r="F153" s="14"/>
      <c r="G153" s="68"/>
      <c r="H153" s="68"/>
      <c r="I153" s="68"/>
      <c r="J153" s="68"/>
      <c r="K153" s="68"/>
      <c r="L153" s="61"/>
      <c r="M153" s="68"/>
      <c r="N153" s="61"/>
      <c r="O153" s="68"/>
      <c r="P153" s="68"/>
      <c r="Q153" s="69"/>
      <c r="R153" s="19"/>
      <c r="S153" s="19"/>
      <c r="T153" s="19"/>
      <c r="U153" s="19"/>
      <c r="V153" s="19"/>
      <c r="W153" s="19"/>
      <c r="X153" s="354" t="s">
        <v>163</v>
      </c>
      <c r="Y153" s="348" t="s">
        <v>64</v>
      </c>
      <c r="Z153" s="349" t="s">
        <v>7</v>
      </c>
      <c r="AA153" s="350" t="s">
        <v>22</v>
      </c>
      <c r="AB153" s="351" t="s">
        <v>103</v>
      </c>
      <c r="AC153" s="352"/>
      <c r="AD153" s="353">
        <f t="shared" si="39"/>
        <v>1437.5</v>
      </c>
      <c r="AE153" s="353">
        <f t="shared" si="39"/>
        <v>1437.4</v>
      </c>
      <c r="AF153" s="468">
        <f t="shared" si="39"/>
        <v>1424</v>
      </c>
      <c r="AG153" s="478">
        <f t="shared" si="32"/>
        <v>0.99067761235564211</v>
      </c>
      <c r="AH153" s="24"/>
      <c r="AI153" s="24"/>
      <c r="AJ153" s="115"/>
    </row>
    <row r="154" spans="1:36" s="80" customFormat="1" ht="31.5" x14ac:dyDescent="0.25">
      <c r="A154" s="75"/>
      <c r="B154" s="66"/>
      <c r="C154" s="67"/>
      <c r="D154" s="67"/>
      <c r="E154" s="14"/>
      <c r="F154" s="14"/>
      <c r="G154" s="68"/>
      <c r="H154" s="68"/>
      <c r="I154" s="68"/>
      <c r="J154" s="68"/>
      <c r="K154" s="68"/>
      <c r="L154" s="61"/>
      <c r="M154" s="68"/>
      <c r="N154" s="61"/>
      <c r="O154" s="68"/>
      <c r="P154" s="68"/>
      <c r="Q154" s="69"/>
      <c r="R154" s="19"/>
      <c r="S154" s="19"/>
      <c r="T154" s="19"/>
      <c r="U154" s="19"/>
      <c r="V154" s="19"/>
      <c r="W154" s="19"/>
      <c r="X154" s="354" t="s">
        <v>625</v>
      </c>
      <c r="Y154" s="348" t="s">
        <v>64</v>
      </c>
      <c r="Z154" s="349" t="s">
        <v>7</v>
      </c>
      <c r="AA154" s="350" t="s">
        <v>22</v>
      </c>
      <c r="AB154" s="355" t="s">
        <v>104</v>
      </c>
      <c r="AC154" s="352"/>
      <c r="AD154" s="353">
        <f>AD155+AD159</f>
        <v>1437.5</v>
      </c>
      <c r="AE154" s="353">
        <f>AE155+AE159</f>
        <v>1437.4</v>
      </c>
      <c r="AF154" s="468">
        <f>AF155+AF159</f>
        <v>1424</v>
      </c>
      <c r="AG154" s="478">
        <f t="shared" si="32"/>
        <v>0.99067761235564211</v>
      </c>
      <c r="AH154" s="24"/>
      <c r="AI154" s="24"/>
      <c r="AJ154" s="115"/>
    </row>
    <row r="155" spans="1:36" s="80" customFormat="1" ht="78.75" x14ac:dyDescent="0.25">
      <c r="A155" s="75"/>
      <c r="B155" s="66"/>
      <c r="C155" s="67"/>
      <c r="D155" s="67"/>
      <c r="E155" s="14"/>
      <c r="F155" s="14"/>
      <c r="G155" s="68"/>
      <c r="H155" s="68"/>
      <c r="I155" s="68"/>
      <c r="J155" s="68"/>
      <c r="K155" s="68"/>
      <c r="L155" s="61"/>
      <c r="M155" s="68"/>
      <c r="N155" s="61"/>
      <c r="O155" s="68"/>
      <c r="P155" s="68"/>
      <c r="Q155" s="69"/>
      <c r="R155" s="19"/>
      <c r="S155" s="19"/>
      <c r="T155" s="19"/>
      <c r="U155" s="19"/>
      <c r="V155" s="19"/>
      <c r="W155" s="19"/>
      <c r="X155" s="368" t="s">
        <v>627</v>
      </c>
      <c r="Y155" s="348" t="s">
        <v>64</v>
      </c>
      <c r="Z155" s="349" t="s">
        <v>7</v>
      </c>
      <c r="AA155" s="350" t="s">
        <v>22</v>
      </c>
      <c r="AB155" s="355" t="s">
        <v>124</v>
      </c>
      <c r="AC155" s="352"/>
      <c r="AD155" s="353">
        <f t="shared" ref="AD155:AF157" si="40">AD156</f>
        <v>408.59999999999991</v>
      </c>
      <c r="AE155" s="353">
        <f t="shared" si="40"/>
        <v>408.49999999999989</v>
      </c>
      <c r="AF155" s="468">
        <f t="shared" si="40"/>
        <v>395.1</v>
      </c>
      <c r="AG155" s="478">
        <f t="shared" si="32"/>
        <v>0.9671970624235009</v>
      </c>
      <c r="AH155" s="24"/>
      <c r="AI155" s="24"/>
      <c r="AJ155" s="115"/>
    </row>
    <row r="156" spans="1:36" s="80" customFormat="1" ht="31.5" x14ac:dyDescent="0.25">
      <c r="A156" s="75"/>
      <c r="B156" s="66"/>
      <c r="C156" s="67"/>
      <c r="D156" s="67"/>
      <c r="E156" s="14"/>
      <c r="F156" s="14"/>
      <c r="G156" s="68"/>
      <c r="H156" s="68"/>
      <c r="I156" s="68"/>
      <c r="J156" s="68"/>
      <c r="K156" s="68"/>
      <c r="L156" s="61"/>
      <c r="M156" s="68"/>
      <c r="N156" s="61"/>
      <c r="O156" s="68"/>
      <c r="P156" s="68"/>
      <c r="Q156" s="69"/>
      <c r="R156" s="19"/>
      <c r="S156" s="19"/>
      <c r="T156" s="19"/>
      <c r="U156" s="19"/>
      <c r="V156" s="19"/>
      <c r="W156" s="19"/>
      <c r="X156" s="368" t="s">
        <v>175</v>
      </c>
      <c r="Y156" s="348" t="s">
        <v>64</v>
      </c>
      <c r="Z156" s="349" t="s">
        <v>7</v>
      </c>
      <c r="AA156" s="350" t="s">
        <v>22</v>
      </c>
      <c r="AB156" s="355" t="s">
        <v>176</v>
      </c>
      <c r="AC156" s="352"/>
      <c r="AD156" s="353">
        <f t="shared" si="40"/>
        <v>408.59999999999991</v>
      </c>
      <c r="AE156" s="353">
        <f t="shared" si="40"/>
        <v>408.49999999999989</v>
      </c>
      <c r="AF156" s="468">
        <f t="shared" si="40"/>
        <v>395.1</v>
      </c>
      <c r="AG156" s="478">
        <f t="shared" si="32"/>
        <v>0.9671970624235009</v>
      </c>
      <c r="AH156" s="24"/>
      <c r="AI156" s="24"/>
      <c r="AJ156" s="115"/>
    </row>
    <row r="157" spans="1:36" s="80" customFormat="1" x14ac:dyDescent="0.25">
      <c r="A157" s="75"/>
      <c r="B157" s="66"/>
      <c r="C157" s="67"/>
      <c r="D157" s="67"/>
      <c r="E157" s="14"/>
      <c r="F157" s="14"/>
      <c r="G157" s="68"/>
      <c r="H157" s="68"/>
      <c r="I157" s="68"/>
      <c r="J157" s="68"/>
      <c r="K157" s="68"/>
      <c r="L157" s="61"/>
      <c r="M157" s="68"/>
      <c r="N157" s="61"/>
      <c r="O157" s="68"/>
      <c r="P157" s="68"/>
      <c r="Q157" s="69"/>
      <c r="R157" s="19"/>
      <c r="S157" s="19"/>
      <c r="T157" s="19"/>
      <c r="U157" s="19"/>
      <c r="V157" s="19"/>
      <c r="W157" s="19"/>
      <c r="X157" s="347" t="s">
        <v>121</v>
      </c>
      <c r="Y157" s="348" t="s">
        <v>64</v>
      </c>
      <c r="Z157" s="349" t="s">
        <v>7</v>
      </c>
      <c r="AA157" s="350" t="s">
        <v>22</v>
      </c>
      <c r="AB157" s="355" t="s">
        <v>176</v>
      </c>
      <c r="AC157" s="352">
        <v>200</v>
      </c>
      <c r="AD157" s="353">
        <f t="shared" si="40"/>
        <v>408.59999999999991</v>
      </c>
      <c r="AE157" s="353">
        <f t="shared" si="40"/>
        <v>408.49999999999989</v>
      </c>
      <c r="AF157" s="468">
        <f t="shared" si="40"/>
        <v>395.1</v>
      </c>
      <c r="AG157" s="478">
        <f t="shared" si="32"/>
        <v>0.9671970624235009</v>
      </c>
      <c r="AH157" s="24"/>
      <c r="AI157" s="24"/>
      <c r="AJ157" s="115"/>
    </row>
    <row r="158" spans="1:36" s="80" customFormat="1" ht="31.5" x14ac:dyDescent="0.25">
      <c r="A158" s="75"/>
      <c r="B158" s="66"/>
      <c r="C158" s="67"/>
      <c r="D158" s="67"/>
      <c r="E158" s="14"/>
      <c r="F158" s="14"/>
      <c r="G158" s="68"/>
      <c r="H158" s="68"/>
      <c r="I158" s="68"/>
      <c r="J158" s="68"/>
      <c r="K158" s="68"/>
      <c r="L158" s="61"/>
      <c r="M158" s="68"/>
      <c r="N158" s="61"/>
      <c r="O158" s="68"/>
      <c r="P158" s="68"/>
      <c r="Q158" s="69"/>
      <c r="R158" s="19"/>
      <c r="S158" s="19"/>
      <c r="T158" s="19"/>
      <c r="U158" s="19"/>
      <c r="V158" s="19"/>
      <c r="W158" s="19"/>
      <c r="X158" s="347" t="s">
        <v>52</v>
      </c>
      <c r="Y158" s="348" t="s">
        <v>64</v>
      </c>
      <c r="Z158" s="349" t="s">
        <v>7</v>
      </c>
      <c r="AA158" s="350" t="s">
        <v>22</v>
      </c>
      <c r="AB158" s="355" t="s">
        <v>176</v>
      </c>
      <c r="AC158" s="352">
        <v>240</v>
      </c>
      <c r="AD158" s="353">
        <f>727+0.3+48.8-360.9-6.6</f>
        <v>408.59999999999991</v>
      </c>
      <c r="AE158" s="353">
        <f>727+0.3+48.8-360.9-6.6-0.1</f>
        <v>408.49999999999989</v>
      </c>
      <c r="AF158" s="468">
        <v>395.1</v>
      </c>
      <c r="AG158" s="478">
        <f t="shared" si="32"/>
        <v>0.9671970624235009</v>
      </c>
      <c r="AH158" s="24"/>
      <c r="AI158" s="24"/>
      <c r="AJ158" s="115"/>
    </row>
    <row r="159" spans="1:36" s="80" customFormat="1" ht="53.45" customHeight="1" x14ac:dyDescent="0.25">
      <c r="A159" s="75"/>
      <c r="B159" s="66"/>
      <c r="C159" s="67"/>
      <c r="D159" s="67"/>
      <c r="E159" s="14"/>
      <c r="F159" s="14"/>
      <c r="G159" s="68"/>
      <c r="H159" s="68"/>
      <c r="I159" s="68"/>
      <c r="J159" s="68"/>
      <c r="K159" s="68"/>
      <c r="L159" s="61"/>
      <c r="M159" s="68"/>
      <c r="N159" s="61"/>
      <c r="O159" s="68"/>
      <c r="P159" s="68"/>
      <c r="Q159" s="69"/>
      <c r="R159" s="19"/>
      <c r="S159" s="19"/>
      <c r="T159" s="19"/>
      <c r="U159" s="19"/>
      <c r="V159" s="19"/>
      <c r="W159" s="19"/>
      <c r="X159" s="368" t="s">
        <v>604</v>
      </c>
      <c r="Y159" s="348" t="s">
        <v>64</v>
      </c>
      <c r="Z159" s="349" t="s">
        <v>7</v>
      </c>
      <c r="AA159" s="350" t="s">
        <v>22</v>
      </c>
      <c r="AB159" s="355" t="s">
        <v>603</v>
      </c>
      <c r="AC159" s="372"/>
      <c r="AD159" s="353">
        <f>AD160</f>
        <v>1028.9000000000001</v>
      </c>
      <c r="AE159" s="353">
        <f>AE160</f>
        <v>1028.9000000000001</v>
      </c>
      <c r="AF159" s="468">
        <f>AF160</f>
        <v>1028.9000000000001</v>
      </c>
      <c r="AG159" s="478">
        <f t="shared" si="32"/>
        <v>1</v>
      </c>
      <c r="AH159" s="24"/>
      <c r="AI159" s="24"/>
      <c r="AJ159" s="115"/>
    </row>
    <row r="160" spans="1:36" s="80" customFormat="1" ht="43.15" customHeight="1" x14ac:dyDescent="0.25">
      <c r="A160" s="75"/>
      <c r="B160" s="66"/>
      <c r="C160" s="67"/>
      <c r="D160" s="67"/>
      <c r="E160" s="14"/>
      <c r="F160" s="14"/>
      <c r="G160" s="68"/>
      <c r="H160" s="68"/>
      <c r="I160" s="68"/>
      <c r="J160" s="68"/>
      <c r="K160" s="68"/>
      <c r="L160" s="61"/>
      <c r="M160" s="68"/>
      <c r="N160" s="61"/>
      <c r="O160" s="68"/>
      <c r="P160" s="68"/>
      <c r="Q160" s="69"/>
      <c r="R160" s="19"/>
      <c r="S160" s="19"/>
      <c r="T160" s="19"/>
      <c r="U160" s="19"/>
      <c r="V160" s="19"/>
      <c r="W160" s="19"/>
      <c r="X160" s="368" t="s">
        <v>605</v>
      </c>
      <c r="Y160" s="348" t="s">
        <v>64</v>
      </c>
      <c r="Z160" s="349" t="s">
        <v>7</v>
      </c>
      <c r="AA160" s="350" t="s">
        <v>22</v>
      </c>
      <c r="AB160" s="355" t="s">
        <v>606</v>
      </c>
      <c r="AC160" s="372"/>
      <c r="AD160" s="353">
        <f t="shared" ref="AD160:AF161" si="41">AD161</f>
        <v>1028.9000000000001</v>
      </c>
      <c r="AE160" s="353">
        <f t="shared" si="41"/>
        <v>1028.9000000000001</v>
      </c>
      <c r="AF160" s="468">
        <f t="shared" si="41"/>
        <v>1028.9000000000001</v>
      </c>
      <c r="AG160" s="478">
        <f t="shared" si="32"/>
        <v>1</v>
      </c>
      <c r="AH160" s="24"/>
      <c r="AI160" s="24"/>
      <c r="AJ160" s="115"/>
    </row>
    <row r="161" spans="1:36" s="80" customFormat="1" x14ac:dyDescent="0.25">
      <c r="A161" s="75"/>
      <c r="B161" s="66"/>
      <c r="C161" s="67"/>
      <c r="D161" s="67"/>
      <c r="E161" s="14"/>
      <c r="F161" s="14"/>
      <c r="G161" s="68"/>
      <c r="H161" s="68"/>
      <c r="I161" s="68"/>
      <c r="J161" s="68"/>
      <c r="K161" s="68"/>
      <c r="L161" s="61"/>
      <c r="M161" s="68"/>
      <c r="N161" s="61"/>
      <c r="O161" s="68"/>
      <c r="P161" s="68"/>
      <c r="Q161" s="69"/>
      <c r="R161" s="19"/>
      <c r="S161" s="19"/>
      <c r="T161" s="19"/>
      <c r="U161" s="19"/>
      <c r="V161" s="19"/>
      <c r="W161" s="19"/>
      <c r="X161" s="347" t="s">
        <v>121</v>
      </c>
      <c r="Y161" s="348" t="s">
        <v>64</v>
      </c>
      <c r="Z161" s="349" t="s">
        <v>7</v>
      </c>
      <c r="AA161" s="350" t="s">
        <v>22</v>
      </c>
      <c r="AB161" s="355" t="s">
        <v>606</v>
      </c>
      <c r="AC161" s="372" t="s">
        <v>37</v>
      </c>
      <c r="AD161" s="353">
        <f t="shared" si="41"/>
        <v>1028.9000000000001</v>
      </c>
      <c r="AE161" s="353">
        <f t="shared" si="41"/>
        <v>1028.9000000000001</v>
      </c>
      <c r="AF161" s="468">
        <f t="shared" si="41"/>
        <v>1028.9000000000001</v>
      </c>
      <c r="AG161" s="478">
        <f t="shared" si="32"/>
        <v>1</v>
      </c>
      <c r="AH161" s="24"/>
      <c r="AI161" s="24"/>
      <c r="AJ161" s="115"/>
    </row>
    <row r="162" spans="1:36" s="80" customFormat="1" ht="31.5" x14ac:dyDescent="0.25">
      <c r="A162" s="75"/>
      <c r="B162" s="66"/>
      <c r="C162" s="67"/>
      <c r="D162" s="67"/>
      <c r="E162" s="14"/>
      <c r="F162" s="14"/>
      <c r="G162" s="68"/>
      <c r="H162" s="68"/>
      <c r="I162" s="68"/>
      <c r="J162" s="68"/>
      <c r="K162" s="68"/>
      <c r="L162" s="61"/>
      <c r="M162" s="68"/>
      <c r="N162" s="61"/>
      <c r="O162" s="68"/>
      <c r="P162" s="68"/>
      <c r="Q162" s="69"/>
      <c r="R162" s="19"/>
      <c r="S162" s="19"/>
      <c r="T162" s="19"/>
      <c r="U162" s="19"/>
      <c r="V162" s="19"/>
      <c r="W162" s="19"/>
      <c r="X162" s="347" t="s">
        <v>52</v>
      </c>
      <c r="Y162" s="348" t="s">
        <v>64</v>
      </c>
      <c r="Z162" s="349" t="s">
        <v>7</v>
      </c>
      <c r="AA162" s="350" t="s">
        <v>22</v>
      </c>
      <c r="AB162" s="355" t="s">
        <v>606</v>
      </c>
      <c r="AC162" s="372" t="s">
        <v>66</v>
      </c>
      <c r="AD162" s="353">
        <f>450+700-71.1-50</f>
        <v>1028.9000000000001</v>
      </c>
      <c r="AE162" s="353">
        <f>450+700-71.1-50</f>
        <v>1028.9000000000001</v>
      </c>
      <c r="AF162" s="468">
        <v>1028.9000000000001</v>
      </c>
      <c r="AG162" s="478">
        <f t="shared" si="32"/>
        <v>1</v>
      </c>
      <c r="AH162" s="24"/>
      <c r="AI162" s="24"/>
      <c r="AJ162" s="115"/>
    </row>
    <row r="163" spans="1:36" s="80" customFormat="1" ht="31.5" x14ac:dyDescent="0.25">
      <c r="A163" s="75"/>
      <c r="B163" s="66"/>
      <c r="C163" s="67"/>
      <c r="D163" s="67"/>
      <c r="E163" s="14"/>
      <c r="F163" s="14"/>
      <c r="G163" s="68"/>
      <c r="H163" s="68"/>
      <c r="I163" s="68"/>
      <c r="J163" s="68"/>
      <c r="K163" s="68"/>
      <c r="L163" s="61"/>
      <c r="M163" s="68"/>
      <c r="N163" s="61"/>
      <c r="O163" s="68"/>
      <c r="P163" s="68"/>
      <c r="Q163" s="69"/>
      <c r="R163" s="19"/>
      <c r="S163" s="19"/>
      <c r="T163" s="19"/>
      <c r="U163" s="19"/>
      <c r="V163" s="19"/>
      <c r="W163" s="19"/>
      <c r="X163" s="347" t="s">
        <v>385</v>
      </c>
      <c r="Y163" s="348" t="s">
        <v>64</v>
      </c>
      <c r="Z163" s="349" t="s">
        <v>7</v>
      </c>
      <c r="AA163" s="350" t="s">
        <v>36</v>
      </c>
      <c r="AB163" s="351"/>
      <c r="AC163" s="352"/>
      <c r="AD163" s="353">
        <f>AD164</f>
        <v>28737.599999999999</v>
      </c>
      <c r="AE163" s="353">
        <f>AE164</f>
        <v>28737.499999999996</v>
      </c>
      <c r="AF163" s="468">
        <f>AF164</f>
        <v>28580</v>
      </c>
      <c r="AG163" s="478">
        <f t="shared" si="32"/>
        <v>0.9945193562418444</v>
      </c>
      <c r="AH163" s="24"/>
      <c r="AI163" s="24"/>
      <c r="AJ163" s="115"/>
    </row>
    <row r="164" spans="1:36" s="80" customFormat="1" ht="31.5" x14ac:dyDescent="0.25">
      <c r="A164" s="75"/>
      <c r="B164" s="66"/>
      <c r="C164" s="67"/>
      <c r="D164" s="67"/>
      <c r="E164" s="14"/>
      <c r="F164" s="14"/>
      <c r="G164" s="68"/>
      <c r="H164" s="68"/>
      <c r="I164" s="68"/>
      <c r="J164" s="68"/>
      <c r="K164" s="68"/>
      <c r="L164" s="61"/>
      <c r="M164" s="68"/>
      <c r="N164" s="61"/>
      <c r="O164" s="68"/>
      <c r="P164" s="68"/>
      <c r="Q164" s="69"/>
      <c r="R164" s="19"/>
      <c r="S164" s="19"/>
      <c r="T164" s="19"/>
      <c r="U164" s="19"/>
      <c r="V164" s="19"/>
      <c r="W164" s="19"/>
      <c r="X164" s="354" t="s">
        <v>163</v>
      </c>
      <c r="Y164" s="348" t="s">
        <v>64</v>
      </c>
      <c r="Z164" s="349" t="s">
        <v>7</v>
      </c>
      <c r="AA164" s="350" t="s">
        <v>36</v>
      </c>
      <c r="AB164" s="351" t="s">
        <v>103</v>
      </c>
      <c r="AC164" s="352"/>
      <c r="AD164" s="353">
        <f>AD165+AD174+AD186+AD181</f>
        <v>28737.599999999999</v>
      </c>
      <c r="AE164" s="353">
        <f>AE165+AE174+AE186+AE181</f>
        <v>28737.499999999996</v>
      </c>
      <c r="AF164" s="468">
        <f>AF165+AF174+AF186+AF181</f>
        <v>28580</v>
      </c>
      <c r="AG164" s="478">
        <f t="shared" si="32"/>
        <v>0.9945193562418444</v>
      </c>
      <c r="AH164" s="24"/>
      <c r="AI164" s="24"/>
      <c r="AJ164" s="115"/>
    </row>
    <row r="165" spans="1:36" s="80" customFormat="1" ht="39.6" customHeight="1" x14ac:dyDescent="0.25">
      <c r="A165" s="17"/>
      <c r="B165" s="66"/>
      <c r="C165" s="67"/>
      <c r="D165" s="67"/>
      <c r="E165" s="14"/>
      <c r="F165" s="81"/>
      <c r="G165" s="68"/>
      <c r="I165" s="18"/>
      <c r="J165" s="18"/>
      <c r="K165" s="18"/>
      <c r="L165" s="68"/>
      <c r="M165" s="18"/>
      <c r="N165" s="68"/>
      <c r="O165" s="33"/>
      <c r="P165" s="68"/>
      <c r="Q165" s="69"/>
      <c r="R165" s="19"/>
      <c r="S165" s="19"/>
      <c r="T165" s="19"/>
      <c r="U165" s="19"/>
      <c r="V165" s="19"/>
      <c r="W165" s="19"/>
      <c r="X165" s="354" t="s">
        <v>641</v>
      </c>
      <c r="Y165" s="348" t="s">
        <v>64</v>
      </c>
      <c r="Z165" s="349" t="s">
        <v>7</v>
      </c>
      <c r="AA165" s="350" t="s">
        <v>36</v>
      </c>
      <c r="AB165" s="355" t="s">
        <v>108</v>
      </c>
      <c r="AC165" s="372"/>
      <c r="AD165" s="353">
        <f>AD166+AD170</f>
        <v>69.5</v>
      </c>
      <c r="AE165" s="353">
        <f>AE166+AE170</f>
        <v>69.400000000000006</v>
      </c>
      <c r="AF165" s="468">
        <f>AF166+AF170</f>
        <v>69.400000000000006</v>
      </c>
      <c r="AG165" s="478">
        <f t="shared" si="32"/>
        <v>1</v>
      </c>
      <c r="AH165" s="24"/>
      <c r="AI165" s="24"/>
      <c r="AJ165" s="115"/>
    </row>
    <row r="166" spans="1:36" s="80" customFormat="1" ht="36.6" customHeight="1" x14ac:dyDescent="0.25">
      <c r="A166" s="17"/>
      <c r="B166" s="66"/>
      <c r="C166" s="67"/>
      <c r="D166" s="67"/>
      <c r="E166" s="14"/>
      <c r="F166" s="81"/>
      <c r="G166" s="68"/>
      <c r="I166" s="18"/>
      <c r="J166" s="18"/>
      <c r="K166" s="18"/>
      <c r="L166" s="68"/>
      <c r="M166" s="18"/>
      <c r="N166" s="68"/>
      <c r="O166" s="33"/>
      <c r="P166" s="68"/>
      <c r="Q166" s="69"/>
      <c r="R166" s="19"/>
      <c r="S166" s="19"/>
      <c r="T166" s="19"/>
      <c r="U166" s="19"/>
      <c r="V166" s="19"/>
      <c r="W166" s="19"/>
      <c r="X166" s="368" t="s">
        <v>599</v>
      </c>
      <c r="Y166" s="348" t="s">
        <v>64</v>
      </c>
      <c r="Z166" s="349" t="s">
        <v>7</v>
      </c>
      <c r="AA166" s="350" t="s">
        <v>36</v>
      </c>
      <c r="AB166" s="355" t="s">
        <v>171</v>
      </c>
      <c r="AC166" s="372"/>
      <c r="AD166" s="353">
        <f t="shared" ref="AD166:AF168" si="42">AD167</f>
        <v>37.5</v>
      </c>
      <c r="AE166" s="353">
        <f t="shared" si="42"/>
        <v>37.4</v>
      </c>
      <c r="AF166" s="468">
        <f t="shared" si="42"/>
        <v>37.4</v>
      </c>
      <c r="AG166" s="478">
        <f t="shared" si="32"/>
        <v>1</v>
      </c>
      <c r="AH166" s="24"/>
      <c r="AI166" s="24"/>
      <c r="AJ166" s="115"/>
    </row>
    <row r="167" spans="1:36" s="80" customFormat="1" ht="33" customHeight="1" x14ac:dyDescent="0.25">
      <c r="A167" s="17"/>
      <c r="B167" s="66"/>
      <c r="C167" s="67"/>
      <c r="D167" s="67"/>
      <c r="E167" s="14"/>
      <c r="F167" s="81"/>
      <c r="G167" s="68"/>
      <c r="I167" s="18"/>
      <c r="J167" s="18"/>
      <c r="K167" s="18"/>
      <c r="L167" s="68"/>
      <c r="M167" s="18"/>
      <c r="N167" s="68"/>
      <c r="O167" s="33"/>
      <c r="P167" s="68"/>
      <c r="Q167" s="69"/>
      <c r="R167" s="19"/>
      <c r="S167" s="19"/>
      <c r="T167" s="19"/>
      <c r="U167" s="19"/>
      <c r="V167" s="19"/>
      <c r="W167" s="19"/>
      <c r="X167" s="368" t="s">
        <v>170</v>
      </c>
      <c r="Y167" s="348" t="s">
        <v>64</v>
      </c>
      <c r="Z167" s="349" t="s">
        <v>7</v>
      </c>
      <c r="AA167" s="350" t="s">
        <v>36</v>
      </c>
      <c r="AB167" s="355" t="s">
        <v>598</v>
      </c>
      <c r="AC167" s="372"/>
      <c r="AD167" s="353">
        <f t="shared" si="42"/>
        <v>37.5</v>
      </c>
      <c r="AE167" s="353">
        <f t="shared" si="42"/>
        <v>37.4</v>
      </c>
      <c r="AF167" s="468">
        <f t="shared" si="42"/>
        <v>37.4</v>
      </c>
      <c r="AG167" s="478">
        <f t="shared" si="32"/>
        <v>1</v>
      </c>
      <c r="AH167" s="24"/>
      <c r="AI167" s="24"/>
      <c r="AJ167" s="115"/>
    </row>
    <row r="168" spans="1:36" s="80" customFormat="1" x14ac:dyDescent="0.25">
      <c r="A168" s="17"/>
      <c r="B168" s="66"/>
      <c r="C168" s="67"/>
      <c r="D168" s="67"/>
      <c r="E168" s="14"/>
      <c r="F168" s="81"/>
      <c r="G168" s="68"/>
      <c r="I168" s="18"/>
      <c r="J168" s="18"/>
      <c r="K168" s="18"/>
      <c r="L168" s="68"/>
      <c r="M168" s="18"/>
      <c r="N168" s="68"/>
      <c r="O168" s="33"/>
      <c r="P168" s="68"/>
      <c r="Q168" s="69"/>
      <c r="R168" s="19"/>
      <c r="S168" s="19"/>
      <c r="T168" s="19"/>
      <c r="U168" s="19"/>
      <c r="V168" s="19"/>
      <c r="W168" s="19"/>
      <c r="X168" s="358" t="s">
        <v>121</v>
      </c>
      <c r="Y168" s="371" t="s">
        <v>64</v>
      </c>
      <c r="Z168" s="349" t="s">
        <v>7</v>
      </c>
      <c r="AA168" s="350" t="s">
        <v>36</v>
      </c>
      <c r="AB168" s="355" t="s">
        <v>598</v>
      </c>
      <c r="AC168" s="381" t="s">
        <v>37</v>
      </c>
      <c r="AD168" s="353">
        <f t="shared" si="42"/>
        <v>37.5</v>
      </c>
      <c r="AE168" s="353">
        <f t="shared" si="42"/>
        <v>37.4</v>
      </c>
      <c r="AF168" s="468">
        <f t="shared" si="42"/>
        <v>37.4</v>
      </c>
      <c r="AG168" s="478">
        <f t="shared" si="32"/>
        <v>1</v>
      </c>
      <c r="AH168" s="24"/>
      <c r="AI168" s="24"/>
      <c r="AJ168" s="115"/>
    </row>
    <row r="169" spans="1:36" s="80" customFormat="1" ht="31.5" x14ac:dyDescent="0.25">
      <c r="A169" s="17"/>
      <c r="B169" s="66"/>
      <c r="C169" s="67"/>
      <c r="D169" s="67"/>
      <c r="E169" s="14"/>
      <c r="F169" s="81"/>
      <c r="G169" s="68"/>
      <c r="I169" s="18"/>
      <c r="J169" s="18"/>
      <c r="K169" s="18"/>
      <c r="L169" s="68"/>
      <c r="M169" s="18"/>
      <c r="N169" s="68"/>
      <c r="O169" s="33"/>
      <c r="P169" s="68"/>
      <c r="Q169" s="69"/>
      <c r="R169" s="19"/>
      <c r="S169" s="19"/>
      <c r="T169" s="19"/>
      <c r="U169" s="19"/>
      <c r="V169" s="19"/>
      <c r="W169" s="19"/>
      <c r="X169" s="358" t="s">
        <v>52</v>
      </c>
      <c r="Y169" s="371" t="s">
        <v>64</v>
      </c>
      <c r="Z169" s="349" t="s">
        <v>7</v>
      </c>
      <c r="AA169" s="350" t="s">
        <v>36</v>
      </c>
      <c r="AB169" s="355" t="s">
        <v>598</v>
      </c>
      <c r="AC169" s="381" t="s">
        <v>66</v>
      </c>
      <c r="AD169" s="353">
        <f>340-302.5</f>
        <v>37.5</v>
      </c>
      <c r="AE169" s="353">
        <v>37.4</v>
      </c>
      <c r="AF169" s="468">
        <v>37.4</v>
      </c>
      <c r="AG169" s="478">
        <f t="shared" si="32"/>
        <v>1</v>
      </c>
      <c r="AH169" s="24"/>
      <c r="AI169" s="24"/>
      <c r="AJ169" s="115"/>
    </row>
    <row r="170" spans="1:36" s="80" customFormat="1" ht="51.6" customHeight="1" x14ac:dyDescent="0.25">
      <c r="A170" s="17"/>
      <c r="B170" s="66"/>
      <c r="C170" s="67"/>
      <c r="D170" s="67"/>
      <c r="E170" s="14"/>
      <c r="F170" s="81"/>
      <c r="G170" s="68"/>
      <c r="I170" s="18"/>
      <c r="J170" s="18"/>
      <c r="K170" s="18"/>
      <c r="L170" s="68"/>
      <c r="M170" s="18"/>
      <c r="N170" s="68"/>
      <c r="O170" s="33"/>
      <c r="P170" s="68"/>
      <c r="Q170" s="69"/>
      <c r="R170" s="19"/>
      <c r="S170" s="19"/>
      <c r="T170" s="19"/>
      <c r="U170" s="19"/>
      <c r="V170" s="19"/>
      <c r="W170" s="19"/>
      <c r="X170" s="347" t="s">
        <v>600</v>
      </c>
      <c r="Y170" s="371" t="s">
        <v>64</v>
      </c>
      <c r="Z170" s="349" t="s">
        <v>7</v>
      </c>
      <c r="AA170" s="350" t="s">
        <v>36</v>
      </c>
      <c r="AB170" s="355" t="s">
        <v>601</v>
      </c>
      <c r="AC170" s="372"/>
      <c r="AD170" s="353">
        <f t="shared" ref="AD170:AF172" si="43">AD171</f>
        <v>32</v>
      </c>
      <c r="AE170" s="353">
        <f t="shared" si="43"/>
        <v>32</v>
      </c>
      <c r="AF170" s="468">
        <f t="shared" si="43"/>
        <v>32</v>
      </c>
      <c r="AG170" s="478">
        <f t="shared" si="32"/>
        <v>1</v>
      </c>
      <c r="AH170" s="24"/>
      <c r="AI170" s="24"/>
      <c r="AJ170" s="115"/>
    </row>
    <row r="171" spans="1:36" s="80" customFormat="1" ht="31.9" customHeight="1" x14ac:dyDescent="0.25">
      <c r="A171" s="17"/>
      <c r="B171" s="66"/>
      <c r="C171" s="67"/>
      <c r="D171" s="67"/>
      <c r="E171" s="14"/>
      <c r="F171" s="81"/>
      <c r="G171" s="68"/>
      <c r="I171" s="18"/>
      <c r="J171" s="18"/>
      <c r="K171" s="18"/>
      <c r="L171" s="68"/>
      <c r="M171" s="18"/>
      <c r="N171" s="68"/>
      <c r="O171" s="33"/>
      <c r="P171" s="68"/>
      <c r="Q171" s="69"/>
      <c r="R171" s="19"/>
      <c r="S171" s="19"/>
      <c r="T171" s="19"/>
      <c r="U171" s="19"/>
      <c r="V171" s="19"/>
      <c r="W171" s="19"/>
      <c r="X171" s="347" t="s">
        <v>170</v>
      </c>
      <c r="Y171" s="371" t="s">
        <v>64</v>
      </c>
      <c r="Z171" s="349" t="s">
        <v>7</v>
      </c>
      <c r="AA171" s="350" t="s">
        <v>36</v>
      </c>
      <c r="AB171" s="355" t="s">
        <v>602</v>
      </c>
      <c r="AC171" s="372"/>
      <c r="AD171" s="353">
        <f t="shared" si="43"/>
        <v>32</v>
      </c>
      <c r="AE171" s="353">
        <f t="shared" si="43"/>
        <v>32</v>
      </c>
      <c r="AF171" s="468">
        <f t="shared" si="43"/>
        <v>32</v>
      </c>
      <c r="AG171" s="478">
        <f t="shared" si="32"/>
        <v>1</v>
      </c>
      <c r="AH171" s="24"/>
      <c r="AI171" s="24"/>
      <c r="AJ171" s="115"/>
    </row>
    <row r="172" spans="1:36" s="80" customFormat="1" x14ac:dyDescent="0.25">
      <c r="A172" s="17"/>
      <c r="B172" s="66"/>
      <c r="C172" s="67"/>
      <c r="D172" s="67"/>
      <c r="E172" s="14"/>
      <c r="F172" s="81"/>
      <c r="G172" s="68"/>
      <c r="I172" s="18"/>
      <c r="J172" s="18"/>
      <c r="K172" s="18"/>
      <c r="L172" s="68"/>
      <c r="M172" s="18"/>
      <c r="N172" s="68"/>
      <c r="O172" s="33"/>
      <c r="P172" s="68"/>
      <c r="Q172" s="69"/>
      <c r="R172" s="19"/>
      <c r="S172" s="19"/>
      <c r="T172" s="19"/>
      <c r="U172" s="19"/>
      <c r="V172" s="19"/>
      <c r="W172" s="19"/>
      <c r="X172" s="347" t="s">
        <v>121</v>
      </c>
      <c r="Y172" s="371" t="s">
        <v>64</v>
      </c>
      <c r="Z172" s="349" t="s">
        <v>7</v>
      </c>
      <c r="AA172" s="350" t="s">
        <v>36</v>
      </c>
      <c r="AB172" s="355" t="s">
        <v>602</v>
      </c>
      <c r="AC172" s="372" t="s">
        <v>37</v>
      </c>
      <c r="AD172" s="353">
        <f t="shared" si="43"/>
        <v>32</v>
      </c>
      <c r="AE172" s="353">
        <f t="shared" si="43"/>
        <v>32</v>
      </c>
      <c r="AF172" s="468">
        <f t="shared" si="43"/>
        <v>32</v>
      </c>
      <c r="AG172" s="478">
        <f t="shared" si="32"/>
        <v>1</v>
      </c>
      <c r="AH172" s="24"/>
      <c r="AI172" s="24"/>
      <c r="AJ172" s="115"/>
    </row>
    <row r="173" spans="1:36" s="80" customFormat="1" ht="31.5" x14ac:dyDescent="0.25">
      <c r="A173" s="17"/>
      <c r="B173" s="66"/>
      <c r="C173" s="67"/>
      <c r="D173" s="67"/>
      <c r="E173" s="14"/>
      <c r="F173" s="81"/>
      <c r="G173" s="68"/>
      <c r="I173" s="18"/>
      <c r="J173" s="18"/>
      <c r="K173" s="18"/>
      <c r="L173" s="68"/>
      <c r="M173" s="18"/>
      <c r="N173" s="68"/>
      <c r="O173" s="33"/>
      <c r="P173" s="68"/>
      <c r="Q173" s="69"/>
      <c r="R173" s="19"/>
      <c r="S173" s="19"/>
      <c r="T173" s="19"/>
      <c r="U173" s="19"/>
      <c r="V173" s="19"/>
      <c r="W173" s="19"/>
      <c r="X173" s="347" t="s">
        <v>52</v>
      </c>
      <c r="Y173" s="371" t="s">
        <v>64</v>
      </c>
      <c r="Z173" s="349" t="s">
        <v>7</v>
      </c>
      <c r="AA173" s="350" t="s">
        <v>36</v>
      </c>
      <c r="AB173" s="355" t="s">
        <v>602</v>
      </c>
      <c r="AC173" s="372" t="s">
        <v>66</v>
      </c>
      <c r="AD173" s="353">
        <f>227-75-100-20</f>
        <v>32</v>
      </c>
      <c r="AE173" s="353">
        <f>227-75-100-20</f>
        <v>32</v>
      </c>
      <c r="AF173" s="468">
        <v>32</v>
      </c>
      <c r="AG173" s="478">
        <f t="shared" si="32"/>
        <v>1</v>
      </c>
      <c r="AH173" s="24"/>
      <c r="AI173" s="24"/>
      <c r="AJ173" s="115"/>
    </row>
    <row r="174" spans="1:36" s="80" customFormat="1" ht="31.5" x14ac:dyDescent="0.25">
      <c r="A174" s="17"/>
      <c r="B174" s="66"/>
      <c r="C174" s="67"/>
      <c r="D174" s="67"/>
      <c r="E174" s="14"/>
      <c r="F174" s="81"/>
      <c r="G174" s="68"/>
      <c r="H174" s="68"/>
      <c r="I174" s="68"/>
      <c r="J174" s="68"/>
      <c r="K174" s="68"/>
      <c r="L174" s="61"/>
      <c r="M174" s="68"/>
      <c r="N174" s="61"/>
      <c r="O174" s="68"/>
      <c r="P174" s="68"/>
      <c r="Q174" s="69"/>
      <c r="R174" s="19"/>
      <c r="S174" s="19"/>
      <c r="T174" s="19"/>
      <c r="U174" s="19"/>
      <c r="V174" s="19"/>
      <c r="W174" s="19"/>
      <c r="X174" s="354" t="s">
        <v>375</v>
      </c>
      <c r="Y174" s="348" t="s">
        <v>64</v>
      </c>
      <c r="Z174" s="349" t="s">
        <v>7</v>
      </c>
      <c r="AA174" s="350" t="s">
        <v>36</v>
      </c>
      <c r="AB174" s="355" t="s">
        <v>105</v>
      </c>
      <c r="AC174" s="357"/>
      <c r="AD174" s="353">
        <f t="shared" ref="AD174:AF175" si="44">AD175</f>
        <v>648.9</v>
      </c>
      <c r="AE174" s="353">
        <f t="shared" si="44"/>
        <v>648.9</v>
      </c>
      <c r="AF174" s="468">
        <f t="shared" si="44"/>
        <v>532.70000000000005</v>
      </c>
      <c r="AG174" s="478">
        <f t="shared" si="32"/>
        <v>0.82092772384034529</v>
      </c>
      <c r="AH174" s="24"/>
      <c r="AI174" s="24"/>
      <c r="AJ174" s="115"/>
    </row>
    <row r="175" spans="1:36" s="80" customFormat="1" ht="34.9" customHeight="1" x14ac:dyDescent="0.25">
      <c r="A175" s="17"/>
      <c r="B175" s="66"/>
      <c r="C175" s="67"/>
      <c r="D175" s="67"/>
      <c r="E175" s="14"/>
      <c r="F175" s="81"/>
      <c r="G175" s="68"/>
      <c r="H175" s="68"/>
      <c r="I175" s="68"/>
      <c r="J175" s="68"/>
      <c r="K175" s="68"/>
      <c r="L175" s="61"/>
      <c r="M175" s="68"/>
      <c r="N175" s="61"/>
      <c r="O175" s="68"/>
      <c r="P175" s="68"/>
      <c r="Q175" s="69"/>
      <c r="R175" s="19"/>
      <c r="S175" s="19"/>
      <c r="T175" s="19"/>
      <c r="U175" s="19"/>
      <c r="V175" s="19"/>
      <c r="W175" s="19"/>
      <c r="X175" s="368" t="s">
        <v>607</v>
      </c>
      <c r="Y175" s="348" t="s">
        <v>64</v>
      </c>
      <c r="Z175" s="349" t="s">
        <v>7</v>
      </c>
      <c r="AA175" s="350" t="s">
        <v>36</v>
      </c>
      <c r="AB175" s="355" t="s">
        <v>125</v>
      </c>
      <c r="AC175" s="372"/>
      <c r="AD175" s="353">
        <f t="shared" si="44"/>
        <v>648.9</v>
      </c>
      <c r="AE175" s="353">
        <f t="shared" si="44"/>
        <v>648.9</v>
      </c>
      <c r="AF175" s="468">
        <f t="shared" si="44"/>
        <v>532.70000000000005</v>
      </c>
      <c r="AG175" s="478">
        <f t="shared" si="32"/>
        <v>0.82092772384034529</v>
      </c>
      <c r="AH175" s="24"/>
      <c r="AI175" s="24"/>
      <c r="AJ175" s="115"/>
    </row>
    <row r="176" spans="1:36" s="80" customFormat="1" x14ac:dyDescent="0.25">
      <c r="A176" s="17"/>
      <c r="B176" s="66"/>
      <c r="C176" s="67"/>
      <c r="D176" s="67"/>
      <c r="E176" s="14"/>
      <c r="F176" s="81"/>
      <c r="G176" s="68"/>
      <c r="H176" s="68"/>
      <c r="I176" s="68"/>
      <c r="J176" s="68"/>
      <c r="K176" s="68"/>
      <c r="L176" s="61"/>
      <c r="M176" s="68"/>
      <c r="N176" s="61"/>
      <c r="O176" s="68"/>
      <c r="P176" s="68"/>
      <c r="Q176" s="69"/>
      <c r="R176" s="19"/>
      <c r="S176" s="19"/>
      <c r="T176" s="19"/>
      <c r="U176" s="19"/>
      <c r="V176" s="19"/>
      <c r="W176" s="19"/>
      <c r="X176" s="347" t="s">
        <v>173</v>
      </c>
      <c r="Y176" s="348" t="s">
        <v>64</v>
      </c>
      <c r="Z176" s="349" t="s">
        <v>7</v>
      </c>
      <c r="AA176" s="350" t="s">
        <v>36</v>
      </c>
      <c r="AB176" s="355" t="s">
        <v>174</v>
      </c>
      <c r="AC176" s="357"/>
      <c r="AD176" s="353">
        <f>AD177+AD179</f>
        <v>648.9</v>
      </c>
      <c r="AE176" s="353">
        <f>AE177+AE179</f>
        <v>648.9</v>
      </c>
      <c r="AF176" s="468">
        <f>AF177+AF179</f>
        <v>532.70000000000005</v>
      </c>
      <c r="AG176" s="478">
        <f t="shared" si="32"/>
        <v>0.82092772384034529</v>
      </c>
      <c r="AH176" s="24"/>
      <c r="AI176" s="24"/>
      <c r="AJ176" s="115"/>
    </row>
    <row r="177" spans="1:37" s="80" customFormat="1" x14ac:dyDescent="0.25">
      <c r="A177" s="17"/>
      <c r="B177" s="66"/>
      <c r="C177" s="67"/>
      <c r="D177" s="67"/>
      <c r="E177" s="14"/>
      <c r="F177" s="81"/>
      <c r="G177" s="68"/>
      <c r="H177" s="68"/>
      <c r="I177" s="68"/>
      <c r="J177" s="68"/>
      <c r="K177" s="68"/>
      <c r="L177" s="61"/>
      <c r="M177" s="68"/>
      <c r="N177" s="61"/>
      <c r="O177" s="68"/>
      <c r="P177" s="68"/>
      <c r="Q177" s="69"/>
      <c r="R177" s="19"/>
      <c r="S177" s="19"/>
      <c r="T177" s="19"/>
      <c r="U177" s="19"/>
      <c r="V177" s="19"/>
      <c r="W177" s="19"/>
      <c r="X177" s="347" t="s">
        <v>121</v>
      </c>
      <c r="Y177" s="348" t="s">
        <v>64</v>
      </c>
      <c r="Z177" s="349" t="s">
        <v>7</v>
      </c>
      <c r="AA177" s="350" t="s">
        <v>36</v>
      </c>
      <c r="AB177" s="355" t="s">
        <v>174</v>
      </c>
      <c r="AC177" s="372" t="s">
        <v>37</v>
      </c>
      <c r="AD177" s="353">
        <f>AD178</f>
        <v>279.89999999999998</v>
      </c>
      <c r="AE177" s="353">
        <f>AE178</f>
        <v>279.89999999999998</v>
      </c>
      <c r="AF177" s="468">
        <f>AF178</f>
        <v>275.89999999999998</v>
      </c>
      <c r="AG177" s="478">
        <f t="shared" si="32"/>
        <v>0.98570918185066092</v>
      </c>
      <c r="AH177" s="24"/>
      <c r="AI177" s="24"/>
      <c r="AJ177" s="115"/>
    </row>
    <row r="178" spans="1:37" s="80" customFormat="1" ht="31.5" x14ac:dyDescent="0.25">
      <c r="A178" s="17"/>
      <c r="B178" s="66"/>
      <c r="C178" s="67"/>
      <c r="D178" s="67"/>
      <c r="E178" s="14"/>
      <c r="F178" s="81"/>
      <c r="G178" s="68"/>
      <c r="H178" s="68"/>
      <c r="I178" s="68"/>
      <c r="J178" s="68"/>
      <c r="K178" s="68"/>
      <c r="L178" s="61"/>
      <c r="M178" s="68"/>
      <c r="N178" s="61"/>
      <c r="O178" s="68"/>
      <c r="P178" s="68"/>
      <c r="Q178" s="69"/>
      <c r="R178" s="19"/>
      <c r="S178" s="19"/>
      <c r="T178" s="19"/>
      <c r="U178" s="19"/>
      <c r="V178" s="19"/>
      <c r="W178" s="19"/>
      <c r="X178" s="347" t="s">
        <v>52</v>
      </c>
      <c r="Y178" s="348" t="s">
        <v>64</v>
      </c>
      <c r="Z178" s="349" t="s">
        <v>7</v>
      </c>
      <c r="AA178" s="350" t="s">
        <v>36</v>
      </c>
      <c r="AB178" s="355" t="s">
        <v>174</v>
      </c>
      <c r="AC178" s="372" t="s">
        <v>66</v>
      </c>
      <c r="AD178" s="353">
        <f>325+8.4-8.4-1.1-19-25</f>
        <v>279.89999999999998</v>
      </c>
      <c r="AE178" s="353">
        <f>325+8.4-8.4-1.1-19-25</f>
        <v>279.89999999999998</v>
      </c>
      <c r="AF178" s="468">
        <v>275.89999999999998</v>
      </c>
      <c r="AG178" s="478">
        <f t="shared" si="32"/>
        <v>0.98570918185066092</v>
      </c>
      <c r="AH178" s="24"/>
      <c r="AI178" s="24"/>
      <c r="AJ178" s="115"/>
    </row>
    <row r="179" spans="1:37" s="80" customFormat="1" ht="31.5" x14ac:dyDescent="0.25">
      <c r="A179" s="17"/>
      <c r="B179" s="66"/>
      <c r="C179" s="67"/>
      <c r="D179" s="67"/>
      <c r="E179" s="14"/>
      <c r="F179" s="81"/>
      <c r="G179" s="68"/>
      <c r="H179" s="68"/>
      <c r="I179" s="68"/>
      <c r="J179" s="68"/>
      <c r="K179" s="68"/>
      <c r="L179" s="61"/>
      <c r="M179" s="68"/>
      <c r="N179" s="61"/>
      <c r="O179" s="68"/>
      <c r="P179" s="68"/>
      <c r="Q179" s="69"/>
      <c r="R179" s="19"/>
      <c r="S179" s="19"/>
      <c r="T179" s="19"/>
      <c r="U179" s="19"/>
      <c r="V179" s="19"/>
      <c r="W179" s="19"/>
      <c r="X179" s="347" t="s">
        <v>61</v>
      </c>
      <c r="Y179" s="348" t="s">
        <v>64</v>
      </c>
      <c r="Z179" s="349" t="s">
        <v>7</v>
      </c>
      <c r="AA179" s="350" t="s">
        <v>36</v>
      </c>
      <c r="AB179" s="355" t="s">
        <v>174</v>
      </c>
      <c r="AC179" s="372" t="s">
        <v>411</v>
      </c>
      <c r="AD179" s="353">
        <f>AD180</f>
        <v>369</v>
      </c>
      <c r="AE179" s="353">
        <f>AE180</f>
        <v>369</v>
      </c>
      <c r="AF179" s="468">
        <f>AF180</f>
        <v>256.8</v>
      </c>
      <c r="AG179" s="478">
        <f t="shared" si="32"/>
        <v>0.69593495934959348</v>
      </c>
      <c r="AH179" s="24"/>
      <c r="AI179" s="24"/>
      <c r="AJ179" s="115"/>
    </row>
    <row r="180" spans="1:37" s="80" customFormat="1" x14ac:dyDescent="0.25">
      <c r="A180" s="17"/>
      <c r="B180" s="66"/>
      <c r="C180" s="67"/>
      <c r="D180" s="67"/>
      <c r="E180" s="14"/>
      <c r="F180" s="81"/>
      <c r="G180" s="68"/>
      <c r="H180" s="68"/>
      <c r="I180" s="68"/>
      <c r="J180" s="68"/>
      <c r="K180" s="68"/>
      <c r="L180" s="61"/>
      <c r="M180" s="68"/>
      <c r="N180" s="61"/>
      <c r="O180" s="68"/>
      <c r="P180" s="68"/>
      <c r="Q180" s="69"/>
      <c r="R180" s="19"/>
      <c r="S180" s="19"/>
      <c r="T180" s="19"/>
      <c r="U180" s="19"/>
      <c r="V180" s="19"/>
      <c r="W180" s="19"/>
      <c r="X180" s="347" t="s">
        <v>62</v>
      </c>
      <c r="Y180" s="348" t="s">
        <v>64</v>
      </c>
      <c r="Z180" s="349" t="s">
        <v>7</v>
      </c>
      <c r="AA180" s="350" t="s">
        <v>36</v>
      </c>
      <c r="AB180" s="355" t="s">
        <v>174</v>
      </c>
      <c r="AC180" s="372" t="s">
        <v>412</v>
      </c>
      <c r="AD180" s="353">
        <f>369</f>
        <v>369</v>
      </c>
      <c r="AE180" s="353">
        <f>369</f>
        <v>369</v>
      </c>
      <c r="AF180" s="468">
        <v>256.8</v>
      </c>
      <c r="AG180" s="478">
        <f t="shared" si="32"/>
        <v>0.69593495934959348</v>
      </c>
      <c r="AH180" s="24"/>
      <c r="AI180" s="24"/>
      <c r="AJ180" s="115"/>
    </row>
    <row r="181" spans="1:37" s="80" customFormat="1" ht="38.450000000000003" customHeight="1" x14ac:dyDescent="0.25">
      <c r="A181" s="17"/>
      <c r="B181" s="66"/>
      <c r="C181" s="67"/>
      <c r="D181" s="67"/>
      <c r="E181" s="14"/>
      <c r="F181" s="81"/>
      <c r="G181" s="68"/>
      <c r="H181" s="68"/>
      <c r="I181" s="68"/>
      <c r="J181" s="68"/>
      <c r="K181" s="68"/>
      <c r="L181" s="61"/>
      <c r="M181" s="68"/>
      <c r="N181" s="61"/>
      <c r="O181" s="68"/>
      <c r="P181" s="68"/>
      <c r="Q181" s="69"/>
      <c r="R181" s="19"/>
      <c r="S181" s="19"/>
      <c r="T181" s="19"/>
      <c r="U181" s="19"/>
      <c r="V181" s="19"/>
      <c r="W181" s="19"/>
      <c r="X181" s="347" t="s">
        <v>608</v>
      </c>
      <c r="Y181" s="348" t="s">
        <v>64</v>
      </c>
      <c r="Z181" s="349" t="s">
        <v>7</v>
      </c>
      <c r="AA181" s="350" t="s">
        <v>36</v>
      </c>
      <c r="AB181" s="355" t="s">
        <v>109</v>
      </c>
      <c r="AC181" s="372"/>
      <c r="AD181" s="353">
        <f t="shared" ref="AD181:AF182" si="45">AD182</f>
        <v>762.3</v>
      </c>
      <c r="AE181" s="353">
        <f t="shared" si="45"/>
        <v>762.3</v>
      </c>
      <c r="AF181" s="468">
        <f t="shared" si="45"/>
        <v>762.3</v>
      </c>
      <c r="AG181" s="478">
        <f t="shared" si="32"/>
        <v>1</v>
      </c>
      <c r="AH181" s="24"/>
      <c r="AI181" s="24"/>
      <c r="AJ181" s="115"/>
    </row>
    <row r="182" spans="1:37" s="80" customFormat="1" ht="36" customHeight="1" x14ac:dyDescent="0.25">
      <c r="A182" s="17"/>
      <c r="B182" s="66"/>
      <c r="C182" s="67"/>
      <c r="D182" s="67"/>
      <c r="E182" s="14"/>
      <c r="F182" s="81"/>
      <c r="G182" s="68"/>
      <c r="H182" s="68"/>
      <c r="I182" s="68"/>
      <c r="J182" s="68"/>
      <c r="K182" s="68"/>
      <c r="L182" s="61"/>
      <c r="M182" s="68"/>
      <c r="N182" s="61"/>
      <c r="O182" s="68"/>
      <c r="P182" s="68"/>
      <c r="Q182" s="69"/>
      <c r="R182" s="19"/>
      <c r="S182" s="19"/>
      <c r="T182" s="19"/>
      <c r="U182" s="19"/>
      <c r="V182" s="19"/>
      <c r="W182" s="19"/>
      <c r="X182" s="347" t="s">
        <v>609</v>
      </c>
      <c r="Y182" s="348" t="s">
        <v>64</v>
      </c>
      <c r="Z182" s="349" t="s">
        <v>7</v>
      </c>
      <c r="AA182" s="350" t="s">
        <v>36</v>
      </c>
      <c r="AB182" s="355" t="s">
        <v>610</v>
      </c>
      <c r="AC182" s="372"/>
      <c r="AD182" s="353">
        <f t="shared" si="45"/>
        <v>762.3</v>
      </c>
      <c r="AE182" s="353">
        <f t="shared" si="45"/>
        <v>762.3</v>
      </c>
      <c r="AF182" s="468">
        <f t="shared" si="45"/>
        <v>762.3</v>
      </c>
      <c r="AG182" s="478">
        <f t="shared" si="32"/>
        <v>1</v>
      </c>
      <c r="AH182" s="24"/>
      <c r="AI182" s="24"/>
      <c r="AJ182" s="115"/>
    </row>
    <row r="183" spans="1:37" s="80" customFormat="1" ht="41.45" customHeight="1" x14ac:dyDescent="0.25">
      <c r="A183" s="17"/>
      <c r="B183" s="66"/>
      <c r="C183" s="67"/>
      <c r="D183" s="67"/>
      <c r="E183" s="14"/>
      <c r="F183" s="81"/>
      <c r="G183" s="68"/>
      <c r="H183" s="68"/>
      <c r="I183" s="68"/>
      <c r="J183" s="68"/>
      <c r="K183" s="68"/>
      <c r="L183" s="61"/>
      <c r="M183" s="68"/>
      <c r="N183" s="61"/>
      <c r="O183" s="68"/>
      <c r="P183" s="68"/>
      <c r="Q183" s="69"/>
      <c r="R183" s="19"/>
      <c r="S183" s="19"/>
      <c r="T183" s="19"/>
      <c r="U183" s="19"/>
      <c r="V183" s="19"/>
      <c r="W183" s="19"/>
      <c r="X183" s="347" t="s">
        <v>172</v>
      </c>
      <c r="Y183" s="348" t="s">
        <v>64</v>
      </c>
      <c r="Z183" s="349" t="s">
        <v>7</v>
      </c>
      <c r="AA183" s="350" t="s">
        <v>36</v>
      </c>
      <c r="AB183" s="355" t="s">
        <v>611</v>
      </c>
      <c r="AC183" s="372"/>
      <c r="AD183" s="353">
        <f>AD185</f>
        <v>762.3</v>
      </c>
      <c r="AE183" s="353">
        <f t="shared" ref="AE183:AF183" si="46">AE185</f>
        <v>762.3</v>
      </c>
      <c r="AF183" s="353">
        <f t="shared" si="46"/>
        <v>762.3</v>
      </c>
      <c r="AG183" s="478">
        <f t="shared" si="32"/>
        <v>1</v>
      </c>
      <c r="AH183" s="24"/>
      <c r="AI183" s="24"/>
      <c r="AJ183" s="115"/>
    </row>
    <row r="184" spans="1:37" s="80" customFormat="1" ht="31.5" x14ac:dyDescent="0.25">
      <c r="A184" s="17"/>
      <c r="B184" s="66"/>
      <c r="C184" s="67"/>
      <c r="D184" s="67"/>
      <c r="E184" s="14"/>
      <c r="F184" s="81"/>
      <c r="G184" s="68"/>
      <c r="H184" s="68"/>
      <c r="I184" s="68"/>
      <c r="J184" s="68"/>
      <c r="K184" s="68"/>
      <c r="L184" s="61"/>
      <c r="M184" s="68"/>
      <c r="N184" s="61"/>
      <c r="O184" s="68"/>
      <c r="P184" s="68"/>
      <c r="Q184" s="69"/>
      <c r="R184" s="19"/>
      <c r="S184" s="19"/>
      <c r="T184" s="19"/>
      <c r="U184" s="19"/>
      <c r="V184" s="19"/>
      <c r="W184" s="19"/>
      <c r="X184" s="347" t="s">
        <v>61</v>
      </c>
      <c r="Y184" s="348" t="s">
        <v>64</v>
      </c>
      <c r="Z184" s="349" t="s">
        <v>7</v>
      </c>
      <c r="AA184" s="350" t="s">
        <v>36</v>
      </c>
      <c r="AB184" s="355" t="s">
        <v>611</v>
      </c>
      <c r="AC184" s="372" t="s">
        <v>411</v>
      </c>
      <c r="AD184" s="353">
        <f>AD185</f>
        <v>762.3</v>
      </c>
      <c r="AE184" s="353">
        <f>AE185</f>
        <v>762.3</v>
      </c>
      <c r="AF184" s="468">
        <f>AF185</f>
        <v>762.3</v>
      </c>
      <c r="AG184" s="478">
        <f t="shared" si="32"/>
        <v>1</v>
      </c>
      <c r="AH184" s="24"/>
      <c r="AI184" s="24"/>
      <c r="AJ184" s="115"/>
    </row>
    <row r="185" spans="1:37" s="80" customFormat="1" x14ac:dyDescent="0.25">
      <c r="A185" s="17"/>
      <c r="B185" s="66"/>
      <c r="C185" s="67"/>
      <c r="D185" s="67"/>
      <c r="E185" s="14"/>
      <c r="F185" s="81"/>
      <c r="G185" s="68"/>
      <c r="H185" s="68"/>
      <c r="I185" s="68"/>
      <c r="J185" s="68"/>
      <c r="K185" s="68"/>
      <c r="L185" s="61"/>
      <c r="M185" s="68"/>
      <c r="N185" s="61"/>
      <c r="O185" s="68"/>
      <c r="P185" s="68"/>
      <c r="Q185" s="69"/>
      <c r="R185" s="19"/>
      <c r="S185" s="19"/>
      <c r="T185" s="19"/>
      <c r="U185" s="19"/>
      <c r="V185" s="19"/>
      <c r="W185" s="19"/>
      <c r="X185" s="347" t="s">
        <v>62</v>
      </c>
      <c r="Y185" s="348" t="s">
        <v>64</v>
      </c>
      <c r="Z185" s="349" t="s">
        <v>7</v>
      </c>
      <c r="AA185" s="350" t="s">
        <v>36</v>
      </c>
      <c r="AB185" s="355" t="s">
        <v>611</v>
      </c>
      <c r="AC185" s="372" t="s">
        <v>412</v>
      </c>
      <c r="AD185" s="353">
        <f>700+70-7.7</f>
        <v>762.3</v>
      </c>
      <c r="AE185" s="353">
        <f>700+70-7.7</f>
        <v>762.3</v>
      </c>
      <c r="AF185" s="468">
        <v>762.3</v>
      </c>
      <c r="AG185" s="478">
        <f t="shared" si="32"/>
        <v>1</v>
      </c>
      <c r="AH185" s="24"/>
      <c r="AI185" s="24"/>
      <c r="AJ185" s="115"/>
    </row>
    <row r="186" spans="1:37" s="80" customFormat="1" x14ac:dyDescent="0.25">
      <c r="A186" s="17"/>
      <c r="B186" s="66"/>
      <c r="C186" s="67"/>
      <c r="D186" s="67"/>
      <c r="E186" s="14"/>
      <c r="F186" s="81"/>
      <c r="G186" s="68"/>
      <c r="H186" s="68"/>
      <c r="I186" s="68"/>
      <c r="J186" s="68"/>
      <c r="K186" s="68"/>
      <c r="L186" s="61"/>
      <c r="M186" s="68"/>
      <c r="N186" s="61"/>
      <c r="O186" s="68"/>
      <c r="P186" s="68"/>
      <c r="Q186" s="69"/>
      <c r="R186" s="19"/>
      <c r="S186" s="19"/>
      <c r="T186" s="19"/>
      <c r="U186" s="19"/>
      <c r="V186" s="19"/>
      <c r="W186" s="19"/>
      <c r="X186" s="368" t="s">
        <v>47</v>
      </c>
      <c r="Y186" s="348" t="s">
        <v>64</v>
      </c>
      <c r="Z186" s="349" t="s">
        <v>7</v>
      </c>
      <c r="AA186" s="350" t="s">
        <v>36</v>
      </c>
      <c r="AB186" s="355" t="s">
        <v>106</v>
      </c>
      <c r="AC186" s="372"/>
      <c r="AD186" s="353">
        <f t="shared" ref="AD186:AF187" si="47">AD187</f>
        <v>27256.899999999998</v>
      </c>
      <c r="AE186" s="353">
        <f t="shared" si="47"/>
        <v>27256.899999999998</v>
      </c>
      <c r="AF186" s="468">
        <f t="shared" si="47"/>
        <v>27215.600000000002</v>
      </c>
      <c r="AG186" s="478">
        <f t="shared" si="32"/>
        <v>0.99848478733825208</v>
      </c>
      <c r="AH186" s="24"/>
      <c r="AI186" s="24"/>
      <c r="AJ186" s="115"/>
    </row>
    <row r="187" spans="1:37" s="80" customFormat="1" ht="31.5" x14ac:dyDescent="0.25">
      <c r="A187" s="17"/>
      <c r="B187" s="66"/>
      <c r="C187" s="67"/>
      <c r="D187" s="67"/>
      <c r="E187" s="14"/>
      <c r="F187" s="81"/>
      <c r="G187" s="68"/>
      <c r="H187" s="68"/>
      <c r="I187" s="68"/>
      <c r="J187" s="68"/>
      <c r="K187" s="68"/>
      <c r="L187" s="61"/>
      <c r="M187" s="68"/>
      <c r="N187" s="61"/>
      <c r="O187" s="68"/>
      <c r="P187" s="68"/>
      <c r="Q187" s="69"/>
      <c r="R187" s="19"/>
      <c r="S187" s="19"/>
      <c r="T187" s="19"/>
      <c r="U187" s="19"/>
      <c r="V187" s="19"/>
      <c r="W187" s="19"/>
      <c r="X187" s="368" t="s">
        <v>278</v>
      </c>
      <c r="Y187" s="348" t="s">
        <v>64</v>
      </c>
      <c r="Z187" s="349" t="s">
        <v>7</v>
      </c>
      <c r="AA187" s="350" t="s">
        <v>36</v>
      </c>
      <c r="AB187" s="355" t="s">
        <v>368</v>
      </c>
      <c r="AC187" s="372"/>
      <c r="AD187" s="353">
        <f t="shared" si="47"/>
        <v>27256.899999999998</v>
      </c>
      <c r="AE187" s="353">
        <f t="shared" si="47"/>
        <v>27256.899999999998</v>
      </c>
      <c r="AF187" s="468">
        <f t="shared" si="47"/>
        <v>27215.600000000002</v>
      </c>
      <c r="AG187" s="478">
        <f t="shared" ref="AG187:AG246" si="48">AF187/AE187</f>
        <v>0.99848478733825208</v>
      </c>
      <c r="AH187" s="24"/>
      <c r="AI187" s="24"/>
      <c r="AJ187" s="115"/>
    </row>
    <row r="188" spans="1:37" s="80" customFormat="1" x14ac:dyDescent="0.25">
      <c r="A188" s="17"/>
      <c r="B188" s="66"/>
      <c r="C188" s="67"/>
      <c r="D188" s="67"/>
      <c r="E188" s="14"/>
      <c r="F188" s="81"/>
      <c r="G188" s="68"/>
      <c r="H188" s="68"/>
      <c r="I188" s="68"/>
      <c r="J188" s="68"/>
      <c r="K188" s="68"/>
      <c r="L188" s="61"/>
      <c r="M188" s="68"/>
      <c r="N188" s="61"/>
      <c r="O188" s="68"/>
      <c r="P188" s="68"/>
      <c r="Q188" s="69"/>
      <c r="R188" s="19"/>
      <c r="S188" s="19"/>
      <c r="T188" s="19"/>
      <c r="U188" s="19"/>
      <c r="V188" s="19"/>
      <c r="W188" s="19"/>
      <c r="X188" s="368" t="s">
        <v>177</v>
      </c>
      <c r="Y188" s="348" t="s">
        <v>64</v>
      </c>
      <c r="Z188" s="349" t="s">
        <v>7</v>
      </c>
      <c r="AA188" s="350" t="s">
        <v>36</v>
      </c>
      <c r="AB188" s="355" t="s">
        <v>178</v>
      </c>
      <c r="AC188" s="372"/>
      <c r="AD188" s="353">
        <f>AD189+AD191</f>
        <v>27256.899999999998</v>
      </c>
      <c r="AE188" s="353">
        <f>AE189+AE191</f>
        <v>27256.899999999998</v>
      </c>
      <c r="AF188" s="468">
        <f>AF189+AF191</f>
        <v>27215.600000000002</v>
      </c>
      <c r="AG188" s="478">
        <f t="shared" si="48"/>
        <v>0.99848478733825208</v>
      </c>
      <c r="AH188" s="24"/>
      <c r="AI188" s="24"/>
      <c r="AJ188" s="115"/>
    </row>
    <row r="189" spans="1:37" s="80" customFormat="1" ht="47.25" x14ac:dyDescent="0.25">
      <c r="A189" s="17"/>
      <c r="B189" s="66"/>
      <c r="C189" s="67"/>
      <c r="D189" s="67"/>
      <c r="E189" s="14"/>
      <c r="F189" s="81"/>
      <c r="G189" s="68"/>
      <c r="H189" s="68"/>
      <c r="I189" s="68"/>
      <c r="J189" s="68"/>
      <c r="K189" s="68"/>
      <c r="L189" s="61"/>
      <c r="M189" s="68"/>
      <c r="N189" s="61"/>
      <c r="O189" s="68"/>
      <c r="P189" s="68"/>
      <c r="Q189" s="69"/>
      <c r="R189" s="19"/>
      <c r="S189" s="19"/>
      <c r="T189" s="19"/>
      <c r="U189" s="19"/>
      <c r="V189" s="19"/>
      <c r="W189" s="19"/>
      <c r="X189" s="347" t="s">
        <v>151</v>
      </c>
      <c r="Y189" s="348" t="s">
        <v>64</v>
      </c>
      <c r="Z189" s="349" t="s">
        <v>7</v>
      </c>
      <c r="AA189" s="350" t="s">
        <v>36</v>
      </c>
      <c r="AB189" s="355" t="s">
        <v>178</v>
      </c>
      <c r="AC189" s="372" t="s">
        <v>127</v>
      </c>
      <c r="AD189" s="353">
        <f>AD190</f>
        <v>25553.199999999997</v>
      </c>
      <c r="AE189" s="353">
        <f>AE190</f>
        <v>25553.199999999997</v>
      </c>
      <c r="AF189" s="468">
        <f>AF190</f>
        <v>25553.200000000001</v>
      </c>
      <c r="AG189" s="478">
        <f t="shared" si="48"/>
        <v>1.0000000000000002</v>
      </c>
      <c r="AH189" s="24"/>
      <c r="AI189" s="24"/>
      <c r="AJ189" s="115"/>
    </row>
    <row r="190" spans="1:37" s="80" customFormat="1" x14ac:dyDescent="0.25">
      <c r="A190" s="17"/>
      <c r="B190" s="66"/>
      <c r="C190" s="67"/>
      <c r="D190" s="67"/>
      <c r="E190" s="14"/>
      <c r="F190" s="81"/>
      <c r="G190" s="68"/>
      <c r="H190" s="68"/>
      <c r="I190" s="68"/>
      <c r="J190" s="68"/>
      <c r="K190" s="68"/>
      <c r="L190" s="61"/>
      <c r="M190" s="68"/>
      <c r="N190" s="61"/>
      <c r="O190" s="68"/>
      <c r="P190" s="68"/>
      <c r="Q190" s="69"/>
      <c r="R190" s="19"/>
      <c r="S190" s="19"/>
      <c r="T190" s="19"/>
      <c r="U190" s="19"/>
      <c r="V190" s="19"/>
      <c r="W190" s="19"/>
      <c r="X190" s="347" t="s">
        <v>69</v>
      </c>
      <c r="Y190" s="348" t="s">
        <v>64</v>
      </c>
      <c r="Z190" s="349" t="s">
        <v>7</v>
      </c>
      <c r="AA190" s="350" t="s">
        <v>36</v>
      </c>
      <c r="AB190" s="355" t="s">
        <v>178</v>
      </c>
      <c r="AC190" s="372" t="s">
        <v>128</v>
      </c>
      <c r="AD190" s="353">
        <f>25162.6+390.6</f>
        <v>25553.199999999997</v>
      </c>
      <c r="AE190" s="353">
        <f>25162.6+390.6</f>
        <v>25553.199999999997</v>
      </c>
      <c r="AF190" s="468">
        <v>25553.200000000001</v>
      </c>
      <c r="AG190" s="478">
        <f t="shared" si="48"/>
        <v>1.0000000000000002</v>
      </c>
      <c r="AH190" s="24"/>
      <c r="AI190" s="24"/>
      <c r="AJ190" s="644"/>
      <c r="AK190" s="623"/>
    </row>
    <row r="191" spans="1:37" s="80" customFormat="1" ht="22.15" customHeight="1" x14ac:dyDescent="0.25">
      <c r="A191" s="17"/>
      <c r="B191" s="66"/>
      <c r="C191" s="67"/>
      <c r="D191" s="67"/>
      <c r="E191" s="14"/>
      <c r="F191" s="81"/>
      <c r="G191" s="68"/>
      <c r="I191" s="18"/>
      <c r="J191" s="18"/>
      <c r="K191" s="18"/>
      <c r="L191" s="68"/>
      <c r="M191" s="18"/>
      <c r="N191" s="68"/>
      <c r="O191" s="33"/>
      <c r="P191" s="68"/>
      <c r="Q191" s="69"/>
      <c r="R191" s="19"/>
      <c r="S191" s="19"/>
      <c r="T191" s="19"/>
      <c r="U191" s="19"/>
      <c r="V191" s="19"/>
      <c r="W191" s="19"/>
      <c r="X191" s="347" t="s">
        <v>121</v>
      </c>
      <c r="Y191" s="348" t="s">
        <v>64</v>
      </c>
      <c r="Z191" s="349" t="s">
        <v>7</v>
      </c>
      <c r="AA191" s="350" t="s">
        <v>36</v>
      </c>
      <c r="AB191" s="355" t="s">
        <v>178</v>
      </c>
      <c r="AC191" s="372" t="s">
        <v>37</v>
      </c>
      <c r="AD191" s="353">
        <f>AD192</f>
        <v>1703.6999999999998</v>
      </c>
      <c r="AE191" s="353">
        <f>AE192</f>
        <v>1703.6999999999998</v>
      </c>
      <c r="AF191" s="468">
        <f>AF192</f>
        <v>1662.4</v>
      </c>
      <c r="AG191" s="478">
        <f t="shared" si="48"/>
        <v>0.97575864295357184</v>
      </c>
      <c r="AH191" s="24"/>
      <c r="AI191" s="24"/>
      <c r="AJ191" s="115"/>
    </row>
    <row r="192" spans="1:37" s="80" customFormat="1" ht="39.6" customHeight="1" x14ac:dyDescent="0.25">
      <c r="A192" s="17"/>
      <c r="B192" s="66"/>
      <c r="C192" s="67"/>
      <c r="D192" s="67"/>
      <c r="E192" s="14"/>
      <c r="F192" s="81"/>
      <c r="G192" s="68"/>
      <c r="I192" s="18"/>
      <c r="J192" s="18"/>
      <c r="K192" s="18"/>
      <c r="L192" s="68"/>
      <c r="M192" s="18"/>
      <c r="N192" s="68"/>
      <c r="O192" s="33"/>
      <c r="P192" s="68"/>
      <c r="Q192" s="69"/>
      <c r="R192" s="19"/>
      <c r="S192" s="19"/>
      <c r="T192" s="19"/>
      <c r="U192" s="19"/>
      <c r="V192" s="19"/>
      <c r="W192" s="19"/>
      <c r="X192" s="347" t="s">
        <v>52</v>
      </c>
      <c r="Y192" s="348" t="s">
        <v>64</v>
      </c>
      <c r="Z192" s="349" t="s">
        <v>7</v>
      </c>
      <c r="AA192" s="350" t="s">
        <v>36</v>
      </c>
      <c r="AB192" s="355" t="s">
        <v>178</v>
      </c>
      <c r="AC192" s="372" t="s">
        <v>66</v>
      </c>
      <c r="AD192" s="353">
        <f>1682.1+21.6</f>
        <v>1703.6999999999998</v>
      </c>
      <c r="AE192" s="353">
        <f>1682.1+21.6</f>
        <v>1703.6999999999998</v>
      </c>
      <c r="AF192" s="468">
        <v>1662.4</v>
      </c>
      <c r="AG192" s="478">
        <f t="shared" si="48"/>
        <v>0.97575864295357184</v>
      </c>
      <c r="AH192" s="24"/>
      <c r="AI192" s="24"/>
      <c r="AJ192" s="115"/>
    </row>
    <row r="193" spans="1:36" s="80" customFormat="1" ht="31.5" x14ac:dyDescent="0.25">
      <c r="A193" s="17"/>
      <c r="B193" s="66"/>
      <c r="C193" s="67"/>
      <c r="D193" s="67"/>
      <c r="E193" s="14"/>
      <c r="F193" s="81"/>
      <c r="G193" s="68"/>
      <c r="H193" s="68"/>
      <c r="I193" s="68"/>
      <c r="J193" s="68"/>
      <c r="K193" s="61"/>
      <c r="L193" s="68"/>
      <c r="M193" s="61"/>
      <c r="N193" s="68"/>
      <c r="O193" s="68"/>
      <c r="P193" s="69"/>
      <c r="Q193" s="19"/>
      <c r="R193" s="19"/>
      <c r="S193" s="19"/>
      <c r="T193" s="19"/>
      <c r="U193" s="19"/>
      <c r="V193" s="19"/>
      <c r="W193" s="19"/>
      <c r="X193" s="347" t="s">
        <v>152</v>
      </c>
      <c r="Y193" s="348" t="s">
        <v>64</v>
      </c>
      <c r="Z193" s="349" t="s">
        <v>7</v>
      </c>
      <c r="AA193" s="350">
        <v>14</v>
      </c>
      <c r="AB193" s="351"/>
      <c r="AC193" s="372"/>
      <c r="AD193" s="353">
        <f t="shared" ref="AD193:AF195" si="49">AD194</f>
        <v>15802</v>
      </c>
      <c r="AE193" s="353">
        <f t="shared" si="49"/>
        <v>15802</v>
      </c>
      <c r="AF193" s="468">
        <f t="shared" si="49"/>
        <v>13945.4</v>
      </c>
      <c r="AG193" s="478">
        <f t="shared" si="48"/>
        <v>0.88250854322237693</v>
      </c>
      <c r="AH193" s="24"/>
      <c r="AI193" s="24"/>
      <c r="AJ193" s="115"/>
    </row>
    <row r="194" spans="1:36" s="80" customFormat="1" ht="31.5" x14ac:dyDescent="0.25">
      <c r="A194" s="17"/>
      <c r="B194" s="66"/>
      <c r="C194" s="67"/>
      <c r="D194" s="67"/>
      <c r="E194" s="14"/>
      <c r="F194" s="81"/>
      <c r="G194" s="68"/>
      <c r="H194" s="18"/>
      <c r="I194" s="18"/>
      <c r="J194" s="18"/>
      <c r="K194" s="68"/>
      <c r="L194" s="18"/>
      <c r="M194" s="68"/>
      <c r="N194" s="33"/>
      <c r="O194" s="68"/>
      <c r="P194" s="69"/>
      <c r="Q194" s="19"/>
      <c r="R194" s="19"/>
      <c r="S194" s="19"/>
      <c r="T194" s="19"/>
      <c r="U194" s="19"/>
      <c r="V194" s="19"/>
      <c r="W194" s="19"/>
      <c r="X194" s="354" t="s">
        <v>163</v>
      </c>
      <c r="Y194" s="348" t="s">
        <v>64</v>
      </c>
      <c r="Z194" s="349" t="s">
        <v>7</v>
      </c>
      <c r="AA194" s="350">
        <v>14</v>
      </c>
      <c r="AB194" s="351" t="s">
        <v>103</v>
      </c>
      <c r="AC194" s="372"/>
      <c r="AD194" s="353">
        <f t="shared" si="49"/>
        <v>15802</v>
      </c>
      <c r="AE194" s="353">
        <f t="shared" si="49"/>
        <v>15802</v>
      </c>
      <c r="AF194" s="468">
        <f t="shared" si="49"/>
        <v>13945.4</v>
      </c>
      <c r="AG194" s="478">
        <f t="shared" si="48"/>
        <v>0.88250854322237693</v>
      </c>
      <c r="AH194" s="24"/>
      <c r="AI194" s="24"/>
      <c r="AJ194" s="115"/>
    </row>
    <row r="195" spans="1:36" s="80" customFormat="1" x14ac:dyDescent="0.25">
      <c r="A195" s="17"/>
      <c r="B195" s="66"/>
      <c r="C195" s="67"/>
      <c r="D195" s="67"/>
      <c r="E195" s="14"/>
      <c r="F195" s="81"/>
      <c r="G195" s="68"/>
      <c r="H195" s="18"/>
      <c r="I195" s="18"/>
      <c r="J195" s="18"/>
      <c r="K195" s="68"/>
      <c r="L195" s="18"/>
      <c r="M195" s="68"/>
      <c r="N195" s="33"/>
      <c r="O195" s="68"/>
      <c r="P195" s="69"/>
      <c r="Q195" s="19"/>
      <c r="R195" s="19"/>
      <c r="S195" s="19"/>
      <c r="T195" s="19"/>
      <c r="U195" s="19"/>
      <c r="V195" s="19"/>
      <c r="W195" s="19"/>
      <c r="X195" s="354" t="s">
        <v>164</v>
      </c>
      <c r="Y195" s="348" t="s">
        <v>64</v>
      </c>
      <c r="Z195" s="349" t="s">
        <v>7</v>
      </c>
      <c r="AA195" s="350">
        <v>14</v>
      </c>
      <c r="AB195" s="351" t="s">
        <v>107</v>
      </c>
      <c r="AC195" s="372"/>
      <c r="AD195" s="353">
        <f>AD196</f>
        <v>15802</v>
      </c>
      <c r="AE195" s="353">
        <f t="shared" si="49"/>
        <v>15802</v>
      </c>
      <c r="AF195" s="353">
        <f t="shared" si="49"/>
        <v>13945.4</v>
      </c>
      <c r="AG195" s="478">
        <f t="shared" si="48"/>
        <v>0.88250854322237693</v>
      </c>
      <c r="AH195" s="24"/>
      <c r="AI195" s="24"/>
      <c r="AJ195" s="115"/>
    </row>
    <row r="196" spans="1:36" s="80" customFormat="1" ht="31.5" x14ac:dyDescent="0.25">
      <c r="A196" s="71"/>
      <c r="B196" s="66"/>
      <c r="C196" s="67"/>
      <c r="D196" s="67"/>
      <c r="E196" s="14"/>
      <c r="F196" s="67"/>
      <c r="G196" s="68"/>
      <c r="H196" s="18"/>
      <c r="I196" s="18"/>
      <c r="J196" s="18"/>
      <c r="K196" s="61"/>
      <c r="L196" s="18"/>
      <c r="M196" s="61"/>
      <c r="N196" s="33"/>
      <c r="O196" s="68"/>
      <c r="P196" s="69"/>
      <c r="Q196" s="19"/>
      <c r="R196" s="19"/>
      <c r="S196" s="19"/>
      <c r="T196" s="19"/>
      <c r="U196" s="19"/>
      <c r="V196" s="19"/>
      <c r="X196" s="368" t="s">
        <v>166</v>
      </c>
      <c r="Y196" s="348" t="s">
        <v>64</v>
      </c>
      <c r="Z196" s="349" t="s">
        <v>7</v>
      </c>
      <c r="AA196" s="350" t="s">
        <v>43</v>
      </c>
      <c r="AB196" s="355" t="s">
        <v>167</v>
      </c>
      <c r="AC196" s="357"/>
      <c r="AD196" s="353">
        <f t="shared" ref="AD196:AF197" si="50">AD197</f>
        <v>15802</v>
      </c>
      <c r="AE196" s="353">
        <f t="shared" si="50"/>
        <v>15802</v>
      </c>
      <c r="AF196" s="468">
        <f t="shared" si="50"/>
        <v>13945.4</v>
      </c>
      <c r="AG196" s="478">
        <f t="shared" si="48"/>
        <v>0.88250854322237693</v>
      </c>
      <c r="AH196" s="24"/>
      <c r="AI196" s="24"/>
      <c r="AJ196" s="115"/>
    </row>
    <row r="197" spans="1:36" s="80" customFormat="1" x14ac:dyDescent="0.25">
      <c r="A197" s="71"/>
      <c r="B197" s="66"/>
      <c r="C197" s="67"/>
      <c r="D197" s="67"/>
      <c r="E197" s="14"/>
      <c r="F197" s="67"/>
      <c r="G197" s="68"/>
      <c r="H197" s="18"/>
      <c r="I197" s="18"/>
      <c r="J197" s="18"/>
      <c r="K197" s="61"/>
      <c r="L197" s="18"/>
      <c r="M197" s="61"/>
      <c r="N197" s="33"/>
      <c r="O197" s="68"/>
      <c r="P197" s="69"/>
      <c r="Q197" s="19"/>
      <c r="R197" s="19"/>
      <c r="S197" s="19"/>
      <c r="T197" s="19"/>
      <c r="U197" s="19"/>
      <c r="V197" s="19"/>
      <c r="X197" s="354" t="s">
        <v>168</v>
      </c>
      <c r="Y197" s="348" t="s">
        <v>64</v>
      </c>
      <c r="Z197" s="349" t="s">
        <v>7</v>
      </c>
      <c r="AA197" s="350" t="s">
        <v>43</v>
      </c>
      <c r="AB197" s="355" t="s">
        <v>169</v>
      </c>
      <c r="AC197" s="357"/>
      <c r="AD197" s="353">
        <f t="shared" si="50"/>
        <v>15802</v>
      </c>
      <c r="AE197" s="353">
        <f t="shared" si="50"/>
        <v>15802</v>
      </c>
      <c r="AF197" s="468">
        <f t="shared" si="50"/>
        <v>13945.4</v>
      </c>
      <c r="AG197" s="478">
        <f t="shared" si="48"/>
        <v>0.88250854322237693</v>
      </c>
      <c r="AH197" s="24"/>
      <c r="AI197" s="24"/>
      <c r="AJ197" s="115"/>
    </row>
    <row r="198" spans="1:36" x14ac:dyDescent="0.25">
      <c r="A198" s="73"/>
      <c r="B198" s="66"/>
      <c r="C198" s="67"/>
      <c r="D198" s="67"/>
      <c r="E198" s="14"/>
      <c r="F198" s="82"/>
      <c r="G198" s="68"/>
      <c r="H198" s="32"/>
      <c r="K198" s="61"/>
      <c r="M198" s="61"/>
      <c r="N198" s="33"/>
      <c r="O198" s="34"/>
      <c r="P198" s="69"/>
      <c r="Q198" s="19"/>
      <c r="R198" s="19"/>
      <c r="S198" s="19"/>
      <c r="T198" s="19"/>
      <c r="U198" s="19"/>
      <c r="V198" s="19"/>
      <c r="X198" s="347" t="s">
        <v>121</v>
      </c>
      <c r="Y198" s="348" t="s">
        <v>64</v>
      </c>
      <c r="Z198" s="349" t="s">
        <v>7</v>
      </c>
      <c r="AA198" s="350" t="s">
        <v>43</v>
      </c>
      <c r="AB198" s="355" t="s">
        <v>169</v>
      </c>
      <c r="AC198" s="357">
        <v>200</v>
      </c>
      <c r="AD198" s="353">
        <f>AD199</f>
        <v>15802</v>
      </c>
      <c r="AE198" s="353">
        <f>AE199</f>
        <v>15802</v>
      </c>
      <c r="AF198" s="468">
        <f>AF199</f>
        <v>13945.4</v>
      </c>
      <c r="AG198" s="478">
        <f t="shared" si="48"/>
        <v>0.88250854322237693</v>
      </c>
      <c r="AH198" s="24"/>
      <c r="AI198" s="24"/>
      <c r="AJ198" s="115"/>
    </row>
    <row r="199" spans="1:36" ht="31.5" x14ac:dyDescent="0.25">
      <c r="A199" s="73"/>
      <c r="B199" s="66"/>
      <c r="C199" s="67"/>
      <c r="D199" s="67"/>
      <c r="E199" s="14"/>
      <c r="F199" s="82"/>
      <c r="G199" s="68"/>
      <c r="H199" s="32"/>
      <c r="K199" s="61"/>
      <c r="M199" s="61"/>
      <c r="N199" s="33"/>
      <c r="O199" s="34"/>
      <c r="P199" s="69"/>
      <c r="Q199" s="19"/>
      <c r="R199" s="19"/>
      <c r="S199" s="19"/>
      <c r="T199" s="19"/>
      <c r="U199" s="19"/>
      <c r="V199" s="19"/>
      <c r="X199" s="347" t="s">
        <v>52</v>
      </c>
      <c r="Y199" s="348" t="s">
        <v>64</v>
      </c>
      <c r="Z199" s="349" t="s">
        <v>7</v>
      </c>
      <c r="AA199" s="350" t="s">
        <v>43</v>
      </c>
      <c r="AB199" s="355" t="s">
        <v>169</v>
      </c>
      <c r="AC199" s="357">
        <v>240</v>
      </c>
      <c r="AD199" s="382">
        <f>15447.4+1172.1-787.9-29.6</f>
        <v>15802</v>
      </c>
      <c r="AE199" s="382">
        <f>15447.4+1172.1-787.9-29.6</f>
        <v>15802</v>
      </c>
      <c r="AF199" s="469">
        <v>13945.4</v>
      </c>
      <c r="AG199" s="478">
        <f t="shared" si="48"/>
        <v>0.88250854322237693</v>
      </c>
      <c r="AH199" s="161"/>
      <c r="AI199" s="161"/>
      <c r="AJ199" s="115"/>
    </row>
    <row r="200" spans="1:36" s="65" customFormat="1" x14ac:dyDescent="0.25">
      <c r="A200" s="56"/>
      <c r="B200" s="57"/>
      <c r="C200" s="59"/>
      <c r="D200" s="59"/>
      <c r="E200" s="60"/>
      <c r="F200" s="60"/>
      <c r="G200" s="61"/>
      <c r="H200" s="61"/>
      <c r="I200" s="61"/>
      <c r="J200" s="61"/>
      <c r="K200" s="61"/>
      <c r="L200" s="61"/>
      <c r="M200" s="61"/>
      <c r="N200" s="61"/>
      <c r="O200" s="83"/>
      <c r="P200" s="61"/>
      <c r="Q200" s="63"/>
      <c r="R200" s="64"/>
      <c r="S200" s="64"/>
      <c r="T200" s="64"/>
      <c r="U200" s="64"/>
      <c r="V200" s="64"/>
      <c r="W200" s="64"/>
      <c r="X200" s="340" t="s">
        <v>44</v>
      </c>
      <c r="Y200" s="341" t="s">
        <v>64</v>
      </c>
      <c r="Z200" s="378" t="s">
        <v>48</v>
      </c>
      <c r="AA200" s="343"/>
      <c r="AB200" s="344"/>
      <c r="AC200" s="345"/>
      <c r="AD200" s="346">
        <f>AD201+AD241+AJ2070+AD219+AD226</f>
        <v>65956.900000000009</v>
      </c>
      <c r="AE200" s="346">
        <f>AE201+AE241+AK2070+AE219+AE226</f>
        <v>65956.900000000009</v>
      </c>
      <c r="AF200" s="467">
        <f>AF201+AF241+AK2070+AF219+AF226</f>
        <v>65115.8</v>
      </c>
      <c r="AG200" s="477">
        <f t="shared" si="48"/>
        <v>0.98724773298927015</v>
      </c>
      <c r="AH200" s="160"/>
      <c r="AI200" s="160"/>
      <c r="AJ200" s="115"/>
    </row>
    <row r="201" spans="1:36" s="80" customFormat="1" x14ac:dyDescent="0.25">
      <c r="A201" s="17"/>
      <c r="B201" s="66"/>
      <c r="C201" s="67"/>
      <c r="D201" s="67"/>
      <c r="E201" s="14"/>
      <c r="F201" s="14"/>
      <c r="G201" s="68"/>
      <c r="H201" s="68"/>
      <c r="I201" s="68"/>
      <c r="J201" s="68"/>
      <c r="K201" s="68"/>
      <c r="L201" s="61"/>
      <c r="M201" s="68"/>
      <c r="N201" s="61"/>
      <c r="O201" s="33"/>
      <c r="P201" s="68"/>
      <c r="Q201" s="69"/>
      <c r="R201" s="19"/>
      <c r="S201" s="19"/>
      <c r="T201" s="19"/>
      <c r="U201" s="19"/>
      <c r="V201" s="19"/>
      <c r="W201" s="19"/>
      <c r="X201" s="347" t="s">
        <v>72</v>
      </c>
      <c r="Y201" s="348" t="s">
        <v>64</v>
      </c>
      <c r="Z201" s="349" t="s">
        <v>48</v>
      </c>
      <c r="AA201" s="350" t="s">
        <v>16</v>
      </c>
      <c r="AB201" s="351"/>
      <c r="AC201" s="352"/>
      <c r="AD201" s="353">
        <f>AD209+AD202</f>
        <v>39294.9</v>
      </c>
      <c r="AE201" s="353">
        <f>AE209+AE202</f>
        <v>39294.9</v>
      </c>
      <c r="AF201" s="468">
        <f>AF209+AF202</f>
        <v>39294.400000000001</v>
      </c>
      <c r="AG201" s="478">
        <f t="shared" si="48"/>
        <v>0.99998727570244483</v>
      </c>
      <c r="AH201" s="24"/>
      <c r="AI201" s="24"/>
      <c r="AJ201" s="115"/>
    </row>
    <row r="202" spans="1:36" s="80" customFormat="1" x14ac:dyDescent="0.25">
      <c r="A202" s="17"/>
      <c r="B202" s="66"/>
      <c r="C202" s="67"/>
      <c r="D202" s="67"/>
      <c r="E202" s="14"/>
      <c r="F202" s="14"/>
      <c r="G202" s="68"/>
      <c r="H202" s="68"/>
      <c r="I202" s="68"/>
      <c r="J202" s="68"/>
      <c r="K202" s="68"/>
      <c r="L202" s="61"/>
      <c r="M202" s="68"/>
      <c r="N202" s="61"/>
      <c r="O202" s="33"/>
      <c r="P202" s="68"/>
      <c r="Q202" s="69"/>
      <c r="R202" s="19"/>
      <c r="S202" s="19"/>
      <c r="T202" s="19"/>
      <c r="U202" s="19"/>
      <c r="V202" s="19"/>
      <c r="W202" s="19"/>
      <c r="X202" s="354" t="s">
        <v>187</v>
      </c>
      <c r="Y202" s="348" t="s">
        <v>64</v>
      </c>
      <c r="Z202" s="375" t="s">
        <v>48</v>
      </c>
      <c r="AA202" s="376" t="s">
        <v>16</v>
      </c>
      <c r="AB202" s="355" t="s">
        <v>113</v>
      </c>
      <c r="AC202" s="370"/>
      <c r="AD202" s="353">
        <f t="shared" ref="AD202:AF207" si="51">AD203</f>
        <v>39179.9</v>
      </c>
      <c r="AE202" s="353">
        <f t="shared" si="51"/>
        <v>39179.9</v>
      </c>
      <c r="AF202" s="468">
        <f t="shared" si="51"/>
        <v>39179.9</v>
      </c>
      <c r="AG202" s="478">
        <f t="shared" si="48"/>
        <v>1</v>
      </c>
      <c r="AH202" s="24"/>
      <c r="AI202" s="24"/>
      <c r="AJ202" s="115"/>
    </row>
    <row r="203" spans="1:36" s="80" customFormat="1" x14ac:dyDescent="0.25">
      <c r="A203" s="17"/>
      <c r="B203" s="66"/>
      <c r="C203" s="67"/>
      <c r="D203" s="67"/>
      <c r="E203" s="14"/>
      <c r="F203" s="14"/>
      <c r="G203" s="68"/>
      <c r="H203" s="68"/>
      <c r="I203" s="68"/>
      <c r="J203" s="68"/>
      <c r="K203" s="68"/>
      <c r="L203" s="61"/>
      <c r="M203" s="68"/>
      <c r="N203" s="61"/>
      <c r="O203" s="33"/>
      <c r="P203" s="68"/>
      <c r="Q203" s="69"/>
      <c r="R203" s="19"/>
      <c r="S203" s="19"/>
      <c r="T203" s="19"/>
      <c r="U203" s="19"/>
      <c r="V203" s="19"/>
      <c r="W203" s="19"/>
      <c r="X203" s="354" t="s">
        <v>191</v>
      </c>
      <c r="Y203" s="348" t="s">
        <v>64</v>
      </c>
      <c r="Z203" s="375" t="s">
        <v>48</v>
      </c>
      <c r="AA203" s="376" t="s">
        <v>16</v>
      </c>
      <c r="AB203" s="355" t="s">
        <v>192</v>
      </c>
      <c r="AC203" s="370"/>
      <c r="AD203" s="353">
        <f t="shared" si="51"/>
        <v>39179.9</v>
      </c>
      <c r="AE203" s="353">
        <f t="shared" si="51"/>
        <v>39179.9</v>
      </c>
      <c r="AF203" s="468">
        <f t="shared" si="51"/>
        <v>39179.9</v>
      </c>
      <c r="AG203" s="478">
        <f t="shared" si="48"/>
        <v>1</v>
      </c>
      <c r="AH203" s="24"/>
      <c r="AI203" s="24"/>
      <c r="AJ203" s="115"/>
    </row>
    <row r="204" spans="1:36" s="80" customFormat="1" ht="31.5" x14ac:dyDescent="0.25">
      <c r="A204" s="17"/>
      <c r="B204" s="66"/>
      <c r="C204" s="67"/>
      <c r="D204" s="67"/>
      <c r="E204" s="14"/>
      <c r="F204" s="14"/>
      <c r="G204" s="68"/>
      <c r="H204" s="68"/>
      <c r="I204" s="68"/>
      <c r="J204" s="68"/>
      <c r="K204" s="68"/>
      <c r="L204" s="61"/>
      <c r="M204" s="68"/>
      <c r="N204" s="61"/>
      <c r="O204" s="33"/>
      <c r="P204" s="68"/>
      <c r="Q204" s="69"/>
      <c r="R204" s="19"/>
      <c r="S204" s="19"/>
      <c r="T204" s="19"/>
      <c r="U204" s="19"/>
      <c r="V204" s="19"/>
      <c r="W204" s="19"/>
      <c r="X204" s="354" t="s">
        <v>193</v>
      </c>
      <c r="Y204" s="348" t="s">
        <v>64</v>
      </c>
      <c r="Z204" s="375" t="s">
        <v>48</v>
      </c>
      <c r="AA204" s="376" t="s">
        <v>16</v>
      </c>
      <c r="AB204" s="355" t="s">
        <v>194</v>
      </c>
      <c r="AC204" s="370"/>
      <c r="AD204" s="353">
        <f t="shared" si="51"/>
        <v>39179.9</v>
      </c>
      <c r="AE204" s="353">
        <f t="shared" si="51"/>
        <v>39179.9</v>
      </c>
      <c r="AF204" s="468">
        <f t="shared" si="51"/>
        <v>39179.9</v>
      </c>
      <c r="AG204" s="478">
        <f t="shared" si="48"/>
        <v>1</v>
      </c>
      <c r="AH204" s="24"/>
      <c r="AI204" s="24"/>
      <c r="AJ204" s="115"/>
    </row>
    <row r="205" spans="1:36" s="80" customFormat="1" ht="31.5" x14ac:dyDescent="0.25">
      <c r="A205" s="17"/>
      <c r="B205" s="66"/>
      <c r="C205" s="67"/>
      <c r="D205" s="67"/>
      <c r="E205" s="14"/>
      <c r="F205" s="14"/>
      <c r="G205" s="68"/>
      <c r="H205" s="68"/>
      <c r="I205" s="68"/>
      <c r="J205" s="68"/>
      <c r="K205" s="68"/>
      <c r="L205" s="61"/>
      <c r="M205" s="68"/>
      <c r="N205" s="61"/>
      <c r="O205" s="33"/>
      <c r="P205" s="68"/>
      <c r="Q205" s="69"/>
      <c r="R205" s="19"/>
      <c r="S205" s="19"/>
      <c r="T205" s="19"/>
      <c r="U205" s="19"/>
      <c r="V205" s="19"/>
      <c r="W205" s="19"/>
      <c r="X205" s="368" t="s">
        <v>205</v>
      </c>
      <c r="Y205" s="348" t="s">
        <v>64</v>
      </c>
      <c r="Z205" s="375" t="s">
        <v>48</v>
      </c>
      <c r="AA205" s="376" t="s">
        <v>16</v>
      </c>
      <c r="AB205" s="363" t="s">
        <v>206</v>
      </c>
      <c r="AC205" s="370"/>
      <c r="AD205" s="353">
        <f t="shared" si="51"/>
        <v>39179.9</v>
      </c>
      <c r="AE205" s="353">
        <f t="shared" si="51"/>
        <v>39179.9</v>
      </c>
      <c r="AF205" s="468">
        <f t="shared" si="51"/>
        <v>39179.9</v>
      </c>
      <c r="AG205" s="478">
        <f t="shared" si="48"/>
        <v>1</v>
      </c>
      <c r="AH205" s="24"/>
      <c r="AI205" s="24"/>
      <c r="AJ205" s="115"/>
    </row>
    <row r="206" spans="1:36" s="80" customFormat="1" ht="47.25" x14ac:dyDescent="0.25">
      <c r="A206" s="17"/>
      <c r="B206" s="66"/>
      <c r="C206" s="67"/>
      <c r="D206" s="67"/>
      <c r="E206" s="14"/>
      <c r="F206" s="14"/>
      <c r="G206" s="68"/>
      <c r="H206" s="68"/>
      <c r="I206" s="68"/>
      <c r="J206" s="68"/>
      <c r="K206" s="68"/>
      <c r="L206" s="61"/>
      <c r="M206" s="68"/>
      <c r="N206" s="61"/>
      <c r="O206" s="33"/>
      <c r="P206" s="68"/>
      <c r="Q206" s="69"/>
      <c r="R206" s="19"/>
      <c r="S206" s="19"/>
      <c r="T206" s="19"/>
      <c r="U206" s="19"/>
      <c r="V206" s="19"/>
      <c r="W206" s="19"/>
      <c r="X206" s="368" t="s">
        <v>388</v>
      </c>
      <c r="Y206" s="348" t="s">
        <v>64</v>
      </c>
      <c r="Z206" s="375" t="s">
        <v>48</v>
      </c>
      <c r="AA206" s="376" t="s">
        <v>16</v>
      </c>
      <c r="AB206" s="363" t="s">
        <v>325</v>
      </c>
      <c r="AC206" s="370"/>
      <c r="AD206" s="353">
        <f t="shared" si="51"/>
        <v>39179.9</v>
      </c>
      <c r="AE206" s="353">
        <f t="shared" si="51"/>
        <v>39179.9</v>
      </c>
      <c r="AF206" s="468">
        <f t="shared" si="51"/>
        <v>39179.9</v>
      </c>
      <c r="AG206" s="478">
        <f t="shared" si="48"/>
        <v>1</v>
      </c>
      <c r="AH206" s="24"/>
      <c r="AI206" s="24"/>
      <c r="AJ206" s="115"/>
    </row>
    <row r="207" spans="1:36" s="80" customFormat="1" ht="31.5" x14ac:dyDescent="0.25">
      <c r="A207" s="17"/>
      <c r="B207" s="66"/>
      <c r="C207" s="67"/>
      <c r="D207" s="67"/>
      <c r="E207" s="14"/>
      <c r="F207" s="14"/>
      <c r="G207" s="68"/>
      <c r="H207" s="68"/>
      <c r="I207" s="68"/>
      <c r="J207" s="68"/>
      <c r="K207" s="68"/>
      <c r="L207" s="61"/>
      <c r="M207" s="68"/>
      <c r="N207" s="61"/>
      <c r="O207" s="33"/>
      <c r="P207" s="68"/>
      <c r="Q207" s="69"/>
      <c r="R207" s="19"/>
      <c r="S207" s="19"/>
      <c r="T207" s="19"/>
      <c r="U207" s="19"/>
      <c r="V207" s="19"/>
      <c r="W207" s="19"/>
      <c r="X207" s="358" t="s">
        <v>61</v>
      </c>
      <c r="Y207" s="348" t="s">
        <v>64</v>
      </c>
      <c r="Z207" s="375" t="s">
        <v>48</v>
      </c>
      <c r="AA207" s="376" t="s">
        <v>16</v>
      </c>
      <c r="AB207" s="363" t="s">
        <v>325</v>
      </c>
      <c r="AC207" s="370">
        <v>600</v>
      </c>
      <c r="AD207" s="353">
        <f t="shared" si="51"/>
        <v>39179.9</v>
      </c>
      <c r="AE207" s="353">
        <f t="shared" si="51"/>
        <v>39179.9</v>
      </c>
      <c r="AF207" s="468">
        <f t="shared" si="51"/>
        <v>39179.9</v>
      </c>
      <c r="AG207" s="478">
        <f t="shared" si="48"/>
        <v>1</v>
      </c>
      <c r="AH207" s="24"/>
      <c r="AI207" s="24"/>
      <c r="AJ207" s="115"/>
    </row>
    <row r="208" spans="1:36" s="80" customFormat="1" x14ac:dyDescent="0.25">
      <c r="A208" s="17"/>
      <c r="B208" s="66"/>
      <c r="C208" s="67"/>
      <c r="D208" s="67"/>
      <c r="E208" s="14"/>
      <c r="F208" s="14"/>
      <c r="G208" s="68"/>
      <c r="H208" s="68"/>
      <c r="I208" s="68"/>
      <c r="J208" s="68"/>
      <c r="K208" s="68"/>
      <c r="L208" s="61"/>
      <c r="M208" s="68"/>
      <c r="N208" s="61"/>
      <c r="O208" s="33"/>
      <c r="P208" s="68"/>
      <c r="Q208" s="69"/>
      <c r="R208" s="19"/>
      <c r="S208" s="19"/>
      <c r="T208" s="19"/>
      <c r="U208" s="19"/>
      <c r="V208" s="19"/>
      <c r="W208" s="19"/>
      <c r="X208" s="358" t="s">
        <v>62</v>
      </c>
      <c r="Y208" s="348" t="s">
        <v>64</v>
      </c>
      <c r="Z208" s="375" t="s">
        <v>48</v>
      </c>
      <c r="AA208" s="376" t="s">
        <v>16</v>
      </c>
      <c r="AB208" s="363" t="s">
        <v>325</v>
      </c>
      <c r="AC208" s="370">
        <v>610</v>
      </c>
      <c r="AD208" s="353">
        <f>27513.6+9930+2400-663.7</f>
        <v>39179.9</v>
      </c>
      <c r="AE208" s="353">
        <f>27513.6+9930+2400-663.7</f>
        <v>39179.9</v>
      </c>
      <c r="AF208" s="468">
        <v>39179.9</v>
      </c>
      <c r="AG208" s="478">
        <f t="shared" si="48"/>
        <v>1</v>
      </c>
      <c r="AH208" s="24"/>
      <c r="AI208" s="24"/>
      <c r="AJ208" s="115"/>
    </row>
    <row r="209" spans="1:36" s="80" customFormat="1" ht="31.5" x14ac:dyDescent="0.25">
      <c r="A209" s="17"/>
      <c r="B209" s="66"/>
      <c r="C209" s="67"/>
      <c r="D209" s="67"/>
      <c r="E209" s="14"/>
      <c r="F209" s="14"/>
      <c r="G209" s="68"/>
      <c r="H209" s="68"/>
      <c r="I209" s="68"/>
      <c r="J209" s="68"/>
      <c r="K209" s="68"/>
      <c r="L209" s="61"/>
      <c r="M209" s="68"/>
      <c r="N209" s="61"/>
      <c r="O209" s="33"/>
      <c r="P209" s="68"/>
      <c r="Q209" s="69"/>
      <c r="R209" s="19"/>
      <c r="S209" s="19"/>
      <c r="T209" s="19"/>
      <c r="U209" s="19"/>
      <c r="V209" s="19"/>
      <c r="W209" s="19"/>
      <c r="X209" s="354" t="s">
        <v>230</v>
      </c>
      <c r="Y209" s="348" t="s">
        <v>64</v>
      </c>
      <c r="Z209" s="349" t="s">
        <v>48</v>
      </c>
      <c r="AA209" s="350" t="s">
        <v>16</v>
      </c>
      <c r="AB209" s="355" t="s">
        <v>231</v>
      </c>
      <c r="AC209" s="352"/>
      <c r="AD209" s="353">
        <f>AD210</f>
        <v>115</v>
      </c>
      <c r="AE209" s="353">
        <f>AE210</f>
        <v>115</v>
      </c>
      <c r="AF209" s="468">
        <f>AF210</f>
        <v>114.5</v>
      </c>
      <c r="AG209" s="478">
        <f t="shared" si="48"/>
        <v>0.9956521739130435</v>
      </c>
      <c r="AH209" s="24"/>
      <c r="AI209" s="24"/>
      <c r="AJ209" s="115"/>
    </row>
    <row r="210" spans="1:36" s="80" customFormat="1" x14ac:dyDescent="0.25">
      <c r="A210" s="71"/>
      <c r="B210" s="66"/>
      <c r="C210" s="67"/>
      <c r="D210" s="67"/>
      <c r="E210" s="14"/>
      <c r="F210" s="67"/>
      <c r="G210" s="68"/>
      <c r="I210" s="18"/>
      <c r="J210" s="18"/>
      <c r="K210" s="18"/>
      <c r="L210" s="61"/>
      <c r="M210" s="18"/>
      <c r="N210" s="61"/>
      <c r="O210" s="33"/>
      <c r="P210" s="68"/>
      <c r="Q210" s="69"/>
      <c r="R210" s="19"/>
      <c r="S210" s="19"/>
      <c r="T210" s="19"/>
      <c r="U210" s="19"/>
      <c r="V210" s="19"/>
      <c r="W210" s="19"/>
      <c r="X210" s="354" t="s">
        <v>232</v>
      </c>
      <c r="Y210" s="348" t="s">
        <v>64</v>
      </c>
      <c r="Z210" s="349" t="s">
        <v>48</v>
      </c>
      <c r="AA210" s="350" t="s">
        <v>16</v>
      </c>
      <c r="AB210" s="355" t="s">
        <v>233</v>
      </c>
      <c r="AC210" s="357"/>
      <c r="AD210" s="353">
        <f t="shared" ref="AD210:AF211" si="52">AD211</f>
        <v>115</v>
      </c>
      <c r="AE210" s="353">
        <f t="shared" si="52"/>
        <v>115</v>
      </c>
      <c r="AF210" s="468">
        <f t="shared" si="52"/>
        <v>114.5</v>
      </c>
      <c r="AG210" s="478">
        <f t="shared" si="48"/>
        <v>0.9956521739130435</v>
      </c>
      <c r="AH210" s="24"/>
      <c r="AI210" s="24"/>
      <c r="AJ210" s="115"/>
    </row>
    <row r="211" spans="1:36" s="80" customFormat="1" x14ac:dyDescent="0.25">
      <c r="A211" s="71"/>
      <c r="B211" s="66"/>
      <c r="C211" s="67"/>
      <c r="D211" s="67"/>
      <c r="E211" s="14"/>
      <c r="F211" s="67"/>
      <c r="G211" s="68"/>
      <c r="I211" s="18"/>
      <c r="J211" s="18"/>
      <c r="K211" s="18"/>
      <c r="L211" s="61"/>
      <c r="M211" s="18"/>
      <c r="N211" s="61"/>
      <c r="O211" s="33"/>
      <c r="P211" s="68"/>
      <c r="Q211" s="69"/>
      <c r="R211" s="19"/>
      <c r="S211" s="19"/>
      <c r="T211" s="19"/>
      <c r="U211" s="19"/>
      <c r="V211" s="19"/>
      <c r="W211" s="19"/>
      <c r="X211" s="368" t="s">
        <v>452</v>
      </c>
      <c r="Y211" s="348" t="s">
        <v>64</v>
      </c>
      <c r="Z211" s="349" t="s">
        <v>48</v>
      </c>
      <c r="AA211" s="350" t="s">
        <v>16</v>
      </c>
      <c r="AB211" s="355" t="s">
        <v>351</v>
      </c>
      <c r="AC211" s="357"/>
      <c r="AD211" s="353">
        <f t="shared" si="52"/>
        <v>115</v>
      </c>
      <c r="AE211" s="353">
        <f t="shared" si="52"/>
        <v>115</v>
      </c>
      <c r="AF211" s="468">
        <f t="shared" si="52"/>
        <v>114.5</v>
      </c>
      <c r="AG211" s="478">
        <f t="shared" si="48"/>
        <v>0.9956521739130435</v>
      </c>
      <c r="AH211" s="24"/>
      <c r="AI211" s="24"/>
      <c r="AJ211" s="115"/>
    </row>
    <row r="212" spans="1:36" s="80" customFormat="1" ht="47.25" x14ac:dyDescent="0.25">
      <c r="A212" s="71"/>
      <c r="B212" s="66"/>
      <c r="C212" s="67"/>
      <c r="D212" s="67"/>
      <c r="E212" s="14"/>
      <c r="F212" s="67"/>
      <c r="G212" s="68"/>
      <c r="H212" s="68"/>
      <c r="I212" s="68"/>
      <c r="J212" s="68"/>
      <c r="K212" s="68"/>
      <c r="L212" s="61"/>
      <c r="M212" s="68"/>
      <c r="N212" s="61"/>
      <c r="O212" s="33"/>
      <c r="P212" s="68"/>
      <c r="Q212" s="69"/>
      <c r="R212" s="19"/>
      <c r="S212" s="19"/>
      <c r="T212" s="19"/>
      <c r="U212" s="19"/>
      <c r="V212" s="19"/>
      <c r="W212" s="19"/>
      <c r="X212" s="368" t="s">
        <v>234</v>
      </c>
      <c r="Y212" s="348" t="s">
        <v>64</v>
      </c>
      <c r="Z212" s="349" t="s">
        <v>48</v>
      </c>
      <c r="AA212" s="350" t="s">
        <v>16</v>
      </c>
      <c r="AB212" s="355" t="s">
        <v>352</v>
      </c>
      <c r="AC212" s="357"/>
      <c r="AD212" s="353">
        <f>AD213+AD216</f>
        <v>115</v>
      </c>
      <c r="AE212" s="353">
        <f>AE213+AE216</f>
        <v>115</v>
      </c>
      <c r="AF212" s="468">
        <f>AF213+AF216</f>
        <v>114.5</v>
      </c>
      <c r="AG212" s="478">
        <f t="shared" si="48"/>
        <v>0.9956521739130435</v>
      </c>
      <c r="AH212" s="24"/>
      <c r="AI212" s="24"/>
      <c r="AJ212" s="115"/>
    </row>
    <row r="213" spans="1:36" s="80" customFormat="1" ht="47.25" x14ac:dyDescent="0.25">
      <c r="A213" s="71"/>
      <c r="B213" s="66"/>
      <c r="C213" s="67"/>
      <c r="D213" s="67"/>
      <c r="E213" s="14"/>
      <c r="F213" s="67"/>
      <c r="G213" s="68"/>
      <c r="H213" s="68"/>
      <c r="I213" s="68"/>
      <c r="J213" s="68"/>
      <c r="K213" s="68"/>
      <c r="L213" s="61"/>
      <c r="M213" s="68"/>
      <c r="N213" s="61"/>
      <c r="O213" s="33"/>
      <c r="P213" s="68"/>
      <c r="Q213" s="69"/>
      <c r="R213" s="19"/>
      <c r="S213" s="19"/>
      <c r="T213" s="19"/>
      <c r="U213" s="19"/>
      <c r="V213" s="19"/>
      <c r="W213" s="19"/>
      <c r="X213" s="368" t="s">
        <v>329</v>
      </c>
      <c r="Y213" s="348" t="s">
        <v>64</v>
      </c>
      <c r="Z213" s="349" t="s">
        <v>48</v>
      </c>
      <c r="AA213" s="350" t="s">
        <v>16</v>
      </c>
      <c r="AB213" s="355" t="s">
        <v>353</v>
      </c>
      <c r="AC213" s="357"/>
      <c r="AD213" s="353">
        <f t="shared" ref="AD213:AF214" si="53">AD214</f>
        <v>0.1</v>
      </c>
      <c r="AE213" s="353">
        <f t="shared" si="53"/>
        <v>0.1</v>
      </c>
      <c r="AF213" s="468">
        <f t="shared" si="53"/>
        <v>0</v>
      </c>
      <c r="AG213" s="478">
        <f t="shared" si="48"/>
        <v>0</v>
      </c>
      <c r="AH213" s="24"/>
      <c r="AI213" s="24"/>
      <c r="AJ213" s="115"/>
    </row>
    <row r="214" spans="1:36" s="80" customFormat="1" x14ac:dyDescent="0.25">
      <c r="A214" s="71"/>
      <c r="B214" s="66"/>
      <c r="C214" s="67"/>
      <c r="D214" s="67"/>
      <c r="E214" s="14"/>
      <c r="F214" s="67"/>
      <c r="G214" s="68"/>
      <c r="H214" s="68"/>
      <c r="I214" s="68"/>
      <c r="J214" s="68"/>
      <c r="K214" s="68"/>
      <c r="L214" s="61"/>
      <c r="M214" s="68"/>
      <c r="N214" s="61"/>
      <c r="O214" s="33"/>
      <c r="P214" s="68"/>
      <c r="Q214" s="69"/>
      <c r="R214" s="19"/>
      <c r="S214" s="19"/>
      <c r="T214" s="19"/>
      <c r="U214" s="19"/>
      <c r="V214" s="19"/>
      <c r="W214" s="19"/>
      <c r="X214" s="347" t="s">
        <v>121</v>
      </c>
      <c r="Y214" s="348" t="s">
        <v>64</v>
      </c>
      <c r="Z214" s="349" t="s">
        <v>48</v>
      </c>
      <c r="AA214" s="350" t="s">
        <v>16</v>
      </c>
      <c r="AB214" s="355" t="s">
        <v>353</v>
      </c>
      <c r="AC214" s="357">
        <v>200</v>
      </c>
      <c r="AD214" s="353">
        <f t="shared" si="53"/>
        <v>0.1</v>
      </c>
      <c r="AE214" s="353">
        <f t="shared" si="53"/>
        <v>0.1</v>
      </c>
      <c r="AF214" s="468">
        <f t="shared" si="53"/>
        <v>0</v>
      </c>
      <c r="AG214" s="478">
        <f t="shared" si="48"/>
        <v>0</v>
      </c>
      <c r="AH214" s="24"/>
      <c r="AI214" s="24"/>
      <c r="AJ214" s="115"/>
    </row>
    <row r="215" spans="1:36" s="80" customFormat="1" ht="31.5" x14ac:dyDescent="0.25">
      <c r="A215" s="71"/>
      <c r="B215" s="66"/>
      <c r="C215" s="67"/>
      <c r="D215" s="67"/>
      <c r="E215" s="14"/>
      <c r="F215" s="67"/>
      <c r="G215" s="68"/>
      <c r="H215" s="68"/>
      <c r="I215" s="68"/>
      <c r="J215" s="68"/>
      <c r="K215" s="68"/>
      <c r="L215" s="61"/>
      <c r="M215" s="68"/>
      <c r="N215" s="61"/>
      <c r="O215" s="33"/>
      <c r="P215" s="68"/>
      <c r="Q215" s="69"/>
      <c r="R215" s="19"/>
      <c r="S215" s="19"/>
      <c r="T215" s="19"/>
      <c r="U215" s="19"/>
      <c r="V215" s="19"/>
      <c r="W215" s="19"/>
      <c r="X215" s="347" t="s">
        <v>52</v>
      </c>
      <c r="Y215" s="348" t="s">
        <v>64</v>
      </c>
      <c r="Z215" s="349" t="s">
        <v>48</v>
      </c>
      <c r="AA215" s="350" t="s">
        <v>16</v>
      </c>
      <c r="AB215" s="355" t="s">
        <v>353</v>
      </c>
      <c r="AC215" s="357">
        <v>240</v>
      </c>
      <c r="AD215" s="353">
        <v>0.1</v>
      </c>
      <c r="AE215" s="353">
        <v>0.1</v>
      </c>
      <c r="AF215" s="468">
        <v>0</v>
      </c>
      <c r="AG215" s="478">
        <f t="shared" si="48"/>
        <v>0</v>
      </c>
      <c r="AH215" s="24"/>
      <c r="AI215" s="24"/>
      <c r="AJ215" s="115"/>
    </row>
    <row r="216" spans="1:36" s="80" customFormat="1" ht="47.25" x14ac:dyDescent="0.25">
      <c r="A216" s="71"/>
      <c r="B216" s="66"/>
      <c r="C216" s="67"/>
      <c r="D216" s="67"/>
      <c r="E216" s="14"/>
      <c r="F216" s="67"/>
      <c r="G216" s="68"/>
      <c r="H216" s="68"/>
      <c r="I216" s="68"/>
      <c r="J216" s="68"/>
      <c r="K216" s="68"/>
      <c r="L216" s="61"/>
      <c r="M216" s="68"/>
      <c r="N216" s="61"/>
      <c r="O216" s="33"/>
      <c r="P216" s="68"/>
      <c r="Q216" s="69"/>
      <c r="R216" s="19"/>
      <c r="S216" s="19"/>
      <c r="T216" s="19"/>
      <c r="U216" s="19"/>
      <c r="V216" s="19"/>
      <c r="W216" s="19"/>
      <c r="X216" s="347" t="s">
        <v>330</v>
      </c>
      <c r="Y216" s="348" t="s">
        <v>64</v>
      </c>
      <c r="Z216" s="349" t="s">
        <v>48</v>
      </c>
      <c r="AA216" s="350" t="s">
        <v>16</v>
      </c>
      <c r="AB216" s="355" t="s">
        <v>354</v>
      </c>
      <c r="AC216" s="357"/>
      <c r="AD216" s="353">
        <f t="shared" ref="AD216:AF217" si="54">AD217</f>
        <v>114.9</v>
      </c>
      <c r="AE216" s="353">
        <f t="shared" si="54"/>
        <v>114.9</v>
      </c>
      <c r="AF216" s="468">
        <f t="shared" si="54"/>
        <v>114.5</v>
      </c>
      <c r="AG216" s="478">
        <f t="shared" si="48"/>
        <v>0.99651871192341157</v>
      </c>
      <c r="AH216" s="24"/>
      <c r="AI216" s="24"/>
      <c r="AJ216" s="115"/>
    </row>
    <row r="217" spans="1:36" s="80" customFormat="1" x14ac:dyDescent="0.25">
      <c r="A217" s="71"/>
      <c r="B217" s="66"/>
      <c r="C217" s="67"/>
      <c r="D217" s="67"/>
      <c r="E217" s="14"/>
      <c r="F217" s="67"/>
      <c r="G217" s="68"/>
      <c r="H217" s="68"/>
      <c r="I217" s="68"/>
      <c r="J217" s="68"/>
      <c r="K217" s="68"/>
      <c r="L217" s="61"/>
      <c r="M217" s="68"/>
      <c r="N217" s="61"/>
      <c r="O217" s="33"/>
      <c r="P217" s="68"/>
      <c r="Q217" s="69"/>
      <c r="R217" s="19"/>
      <c r="S217" s="19"/>
      <c r="T217" s="19"/>
      <c r="U217" s="19"/>
      <c r="V217" s="19"/>
      <c r="W217" s="19"/>
      <c r="X217" s="347" t="s">
        <v>121</v>
      </c>
      <c r="Y217" s="348" t="s">
        <v>64</v>
      </c>
      <c r="Z217" s="349" t="s">
        <v>48</v>
      </c>
      <c r="AA217" s="350" t="s">
        <v>16</v>
      </c>
      <c r="AB217" s="355" t="s">
        <v>354</v>
      </c>
      <c r="AC217" s="357">
        <v>200</v>
      </c>
      <c r="AD217" s="353">
        <f t="shared" si="54"/>
        <v>114.9</v>
      </c>
      <c r="AE217" s="353">
        <f t="shared" si="54"/>
        <v>114.9</v>
      </c>
      <c r="AF217" s="468">
        <f t="shared" si="54"/>
        <v>114.5</v>
      </c>
      <c r="AG217" s="478">
        <f t="shared" si="48"/>
        <v>0.99651871192341157</v>
      </c>
      <c r="AH217" s="24"/>
      <c r="AI217" s="24"/>
      <c r="AJ217" s="115"/>
    </row>
    <row r="218" spans="1:36" s="80" customFormat="1" ht="31.5" x14ac:dyDescent="0.25">
      <c r="A218" s="71"/>
      <c r="B218" s="66"/>
      <c r="C218" s="67"/>
      <c r="D218" s="67"/>
      <c r="E218" s="14"/>
      <c r="F218" s="67"/>
      <c r="G218" s="68"/>
      <c r="H218" s="68"/>
      <c r="I218" s="68"/>
      <c r="J218" s="68"/>
      <c r="K218" s="68"/>
      <c r="L218" s="61"/>
      <c r="M218" s="68"/>
      <c r="N218" s="61"/>
      <c r="O218" s="33"/>
      <c r="P218" s="68"/>
      <c r="Q218" s="69"/>
      <c r="R218" s="19"/>
      <c r="S218" s="19"/>
      <c r="T218" s="19"/>
      <c r="U218" s="19"/>
      <c r="V218" s="19"/>
      <c r="W218" s="19"/>
      <c r="X218" s="347" t="s">
        <v>52</v>
      </c>
      <c r="Y218" s="348" t="s">
        <v>64</v>
      </c>
      <c r="Z218" s="349" t="s">
        <v>48</v>
      </c>
      <c r="AA218" s="350" t="s">
        <v>16</v>
      </c>
      <c r="AB218" s="355" t="s">
        <v>354</v>
      </c>
      <c r="AC218" s="357">
        <v>240</v>
      </c>
      <c r="AD218" s="353">
        <v>114.9</v>
      </c>
      <c r="AE218" s="353">
        <v>114.9</v>
      </c>
      <c r="AF218" s="468">
        <v>114.5</v>
      </c>
      <c r="AG218" s="478">
        <f t="shared" si="48"/>
        <v>0.99651871192341157</v>
      </c>
      <c r="AH218" s="24"/>
      <c r="AI218" s="24"/>
      <c r="AJ218" s="115"/>
    </row>
    <row r="219" spans="1:36" s="80" customFormat="1" ht="18.75" x14ac:dyDescent="0.3">
      <c r="A219" s="84"/>
      <c r="B219" s="66"/>
      <c r="C219" s="67"/>
      <c r="D219" s="67"/>
      <c r="E219" s="14"/>
      <c r="F219" s="67"/>
      <c r="G219" s="68"/>
      <c r="I219" s="18"/>
      <c r="J219" s="18"/>
      <c r="K219" s="18"/>
      <c r="L219" s="61"/>
      <c r="M219" s="18"/>
      <c r="N219" s="61"/>
      <c r="O219" s="33"/>
      <c r="P219" s="68"/>
      <c r="Q219" s="69"/>
      <c r="R219" s="19"/>
      <c r="S219" s="19"/>
      <c r="T219" s="19"/>
      <c r="U219" s="19"/>
      <c r="V219" s="19"/>
      <c r="X219" s="347" t="s">
        <v>94</v>
      </c>
      <c r="Y219" s="371" t="s">
        <v>64</v>
      </c>
      <c r="Z219" s="349" t="s">
        <v>48</v>
      </c>
      <c r="AA219" s="350" t="s">
        <v>22</v>
      </c>
      <c r="AB219" s="383"/>
      <c r="AC219" s="384"/>
      <c r="AD219" s="353">
        <f t="shared" ref="AD219:AF220" si="55">AD220</f>
        <v>20005</v>
      </c>
      <c r="AE219" s="353">
        <f t="shared" si="55"/>
        <v>20005</v>
      </c>
      <c r="AF219" s="468">
        <f t="shared" si="55"/>
        <v>20005</v>
      </c>
      <c r="AG219" s="478">
        <f t="shared" si="48"/>
        <v>1</v>
      </c>
      <c r="AH219" s="24"/>
      <c r="AI219" s="24"/>
      <c r="AJ219" s="115"/>
    </row>
    <row r="220" spans="1:36" s="80" customFormat="1" ht="31.5" x14ac:dyDescent="0.25">
      <c r="A220" s="84"/>
      <c r="B220" s="66"/>
      <c r="C220" s="67"/>
      <c r="D220" s="67"/>
      <c r="E220" s="14"/>
      <c r="F220" s="67"/>
      <c r="G220" s="68"/>
      <c r="I220" s="18"/>
      <c r="J220" s="18"/>
      <c r="K220" s="18"/>
      <c r="L220" s="61"/>
      <c r="M220" s="18"/>
      <c r="N220" s="61"/>
      <c r="O220" s="33"/>
      <c r="P220" s="68"/>
      <c r="Q220" s="69"/>
      <c r="R220" s="19"/>
      <c r="S220" s="19"/>
      <c r="T220" s="19"/>
      <c r="U220" s="19"/>
      <c r="V220" s="19"/>
      <c r="X220" s="354" t="s">
        <v>230</v>
      </c>
      <c r="Y220" s="348" t="s">
        <v>64</v>
      </c>
      <c r="Z220" s="385" t="s">
        <v>48</v>
      </c>
      <c r="AA220" s="386" t="s">
        <v>22</v>
      </c>
      <c r="AB220" s="355" t="s">
        <v>231</v>
      </c>
      <c r="AC220" s="352"/>
      <c r="AD220" s="353">
        <f>AD221</f>
        <v>20005</v>
      </c>
      <c r="AE220" s="353">
        <f>AE221</f>
        <v>20005</v>
      </c>
      <c r="AF220" s="468">
        <f t="shared" si="55"/>
        <v>20005</v>
      </c>
      <c r="AG220" s="478">
        <f t="shared" si="48"/>
        <v>1</v>
      </c>
      <c r="AH220" s="24"/>
      <c r="AI220" s="24"/>
      <c r="AJ220" s="115"/>
    </row>
    <row r="221" spans="1:36" s="80" customFormat="1" x14ac:dyDescent="0.25">
      <c r="A221" s="84"/>
      <c r="B221" s="66"/>
      <c r="C221" s="67"/>
      <c r="D221" s="67"/>
      <c r="E221" s="14"/>
      <c r="F221" s="67"/>
      <c r="G221" s="68"/>
      <c r="I221" s="18"/>
      <c r="J221" s="18"/>
      <c r="K221" s="18"/>
      <c r="L221" s="61"/>
      <c r="M221" s="18"/>
      <c r="N221" s="61"/>
      <c r="O221" s="33"/>
      <c r="P221" s="68"/>
      <c r="Q221" s="69"/>
      <c r="R221" s="19"/>
      <c r="S221" s="19"/>
      <c r="T221" s="19"/>
      <c r="U221" s="19"/>
      <c r="V221" s="19"/>
      <c r="X221" s="354" t="s">
        <v>47</v>
      </c>
      <c r="Y221" s="348" t="s">
        <v>64</v>
      </c>
      <c r="Z221" s="385" t="s">
        <v>48</v>
      </c>
      <c r="AA221" s="386" t="s">
        <v>22</v>
      </c>
      <c r="AB221" s="355" t="s">
        <v>355</v>
      </c>
      <c r="AC221" s="357"/>
      <c r="AD221" s="353">
        <f t="shared" ref="AD221:AF224" si="56">AD222</f>
        <v>20005</v>
      </c>
      <c r="AE221" s="353">
        <f t="shared" si="56"/>
        <v>20005</v>
      </c>
      <c r="AF221" s="468">
        <f t="shared" si="56"/>
        <v>20005</v>
      </c>
      <c r="AG221" s="478">
        <f t="shared" si="48"/>
        <v>1</v>
      </c>
      <c r="AH221" s="24"/>
      <c r="AI221" s="24"/>
      <c r="AJ221" s="115"/>
    </row>
    <row r="222" spans="1:36" s="80" customFormat="1" ht="31.5" x14ac:dyDescent="0.25">
      <c r="A222" s="84"/>
      <c r="B222" s="66"/>
      <c r="C222" s="67"/>
      <c r="D222" s="67"/>
      <c r="E222" s="14"/>
      <c r="F222" s="67"/>
      <c r="G222" s="68"/>
      <c r="I222" s="18"/>
      <c r="J222" s="18"/>
      <c r="K222" s="18"/>
      <c r="L222" s="61"/>
      <c r="M222" s="18"/>
      <c r="N222" s="61"/>
      <c r="O222" s="33"/>
      <c r="P222" s="68"/>
      <c r="Q222" s="69"/>
      <c r="R222" s="19"/>
      <c r="S222" s="19"/>
      <c r="T222" s="19"/>
      <c r="U222" s="19"/>
      <c r="V222" s="19"/>
      <c r="X222" s="354" t="s">
        <v>193</v>
      </c>
      <c r="Y222" s="348" t="s">
        <v>64</v>
      </c>
      <c r="Z222" s="385" t="s">
        <v>48</v>
      </c>
      <c r="AA222" s="386" t="s">
        <v>22</v>
      </c>
      <c r="AB222" s="355" t="s">
        <v>356</v>
      </c>
      <c r="AC222" s="357"/>
      <c r="AD222" s="353">
        <f t="shared" si="56"/>
        <v>20005</v>
      </c>
      <c r="AE222" s="353">
        <f t="shared" si="56"/>
        <v>20005</v>
      </c>
      <c r="AF222" s="468">
        <f t="shared" si="56"/>
        <v>20005</v>
      </c>
      <c r="AG222" s="478">
        <f t="shared" si="48"/>
        <v>1</v>
      </c>
      <c r="AH222" s="24"/>
      <c r="AI222" s="24"/>
      <c r="AJ222" s="115"/>
    </row>
    <row r="223" spans="1:36" s="80" customFormat="1" ht="31.5" x14ac:dyDescent="0.25">
      <c r="A223" s="84"/>
      <c r="B223" s="66"/>
      <c r="C223" s="67"/>
      <c r="D223" s="67"/>
      <c r="E223" s="14"/>
      <c r="F223" s="67"/>
      <c r="G223" s="68"/>
      <c r="I223" s="18"/>
      <c r="J223" s="18"/>
      <c r="K223" s="18"/>
      <c r="L223" s="61"/>
      <c r="M223" s="18"/>
      <c r="N223" s="61"/>
      <c r="O223" s="33"/>
      <c r="P223" s="68"/>
      <c r="Q223" s="69"/>
      <c r="R223" s="19"/>
      <c r="S223" s="19"/>
      <c r="T223" s="19"/>
      <c r="U223" s="19"/>
      <c r="V223" s="19"/>
      <c r="X223" s="368" t="s">
        <v>328</v>
      </c>
      <c r="Y223" s="348" t="s">
        <v>64</v>
      </c>
      <c r="Z223" s="385" t="s">
        <v>48</v>
      </c>
      <c r="AA223" s="386" t="s">
        <v>22</v>
      </c>
      <c r="AB223" s="355" t="s">
        <v>357</v>
      </c>
      <c r="AC223" s="357"/>
      <c r="AD223" s="353">
        <f>AD224</f>
        <v>20005</v>
      </c>
      <c r="AE223" s="353">
        <f>AE224</f>
        <v>20005</v>
      </c>
      <c r="AF223" s="468">
        <f>AF224</f>
        <v>20005</v>
      </c>
      <c r="AG223" s="478">
        <f t="shared" si="48"/>
        <v>1</v>
      </c>
      <c r="AH223" s="24"/>
      <c r="AI223" s="24"/>
      <c r="AJ223" s="115"/>
    </row>
    <row r="224" spans="1:36" s="80" customFormat="1" ht="31.5" x14ac:dyDescent="0.25">
      <c r="A224" s="84"/>
      <c r="B224" s="66"/>
      <c r="C224" s="67"/>
      <c r="D224" s="67"/>
      <c r="E224" s="14"/>
      <c r="F224" s="67"/>
      <c r="G224" s="68"/>
      <c r="I224" s="18"/>
      <c r="J224" s="18"/>
      <c r="K224" s="18"/>
      <c r="L224" s="61"/>
      <c r="M224" s="18"/>
      <c r="N224" s="61"/>
      <c r="O224" s="33"/>
      <c r="P224" s="68"/>
      <c r="Q224" s="69"/>
      <c r="R224" s="19"/>
      <c r="S224" s="19"/>
      <c r="T224" s="19"/>
      <c r="U224" s="19"/>
      <c r="V224" s="19"/>
      <c r="X224" s="358" t="s">
        <v>61</v>
      </c>
      <c r="Y224" s="348" t="s">
        <v>64</v>
      </c>
      <c r="Z224" s="385" t="s">
        <v>48</v>
      </c>
      <c r="AA224" s="386" t="s">
        <v>22</v>
      </c>
      <c r="AB224" s="355" t="s">
        <v>357</v>
      </c>
      <c r="AC224" s="357">
        <v>600</v>
      </c>
      <c r="AD224" s="353">
        <f t="shared" si="56"/>
        <v>20005</v>
      </c>
      <c r="AE224" s="353">
        <f t="shared" si="56"/>
        <v>20005</v>
      </c>
      <c r="AF224" s="468">
        <f t="shared" si="56"/>
        <v>20005</v>
      </c>
      <c r="AG224" s="478">
        <f t="shared" si="48"/>
        <v>1</v>
      </c>
      <c r="AH224" s="24"/>
      <c r="AI224" s="24"/>
      <c r="AJ224" s="115"/>
    </row>
    <row r="225" spans="1:36" s="80" customFormat="1" x14ac:dyDescent="0.25">
      <c r="A225" s="84"/>
      <c r="B225" s="66"/>
      <c r="C225" s="67"/>
      <c r="D225" s="67"/>
      <c r="E225" s="14"/>
      <c r="F225" s="67"/>
      <c r="G225" s="68"/>
      <c r="I225" s="18"/>
      <c r="J225" s="18"/>
      <c r="K225" s="18"/>
      <c r="L225" s="61"/>
      <c r="M225" s="18"/>
      <c r="N225" s="61"/>
      <c r="O225" s="33"/>
      <c r="P225" s="68"/>
      <c r="Q225" s="69"/>
      <c r="R225" s="19"/>
      <c r="S225" s="19"/>
      <c r="T225" s="19"/>
      <c r="U225" s="19"/>
      <c r="V225" s="19"/>
      <c r="X225" s="358" t="s">
        <v>62</v>
      </c>
      <c r="Y225" s="348" t="s">
        <v>64</v>
      </c>
      <c r="Z225" s="385" t="s">
        <v>48</v>
      </c>
      <c r="AA225" s="386" t="s">
        <v>22</v>
      </c>
      <c r="AB225" s="355" t="s">
        <v>357</v>
      </c>
      <c r="AC225" s="357">
        <v>610</v>
      </c>
      <c r="AD225" s="353">
        <f>12305+1000+6700</f>
        <v>20005</v>
      </c>
      <c r="AE225" s="353">
        <f>12305+1000+6700</f>
        <v>20005</v>
      </c>
      <c r="AF225" s="468">
        <v>20005</v>
      </c>
      <c r="AG225" s="478">
        <f t="shared" si="48"/>
        <v>1</v>
      </c>
      <c r="AH225" s="24"/>
      <c r="AI225" s="24"/>
      <c r="AJ225" s="115"/>
    </row>
    <row r="226" spans="1:36" s="80" customFormat="1" x14ac:dyDescent="0.25">
      <c r="A226" s="84"/>
      <c r="B226" s="66"/>
      <c r="C226" s="67"/>
      <c r="D226" s="67"/>
      <c r="E226" s="14"/>
      <c r="F226" s="67"/>
      <c r="G226" s="68"/>
      <c r="I226" s="18"/>
      <c r="J226" s="18"/>
      <c r="K226" s="18"/>
      <c r="L226" s="61"/>
      <c r="M226" s="18"/>
      <c r="N226" s="61"/>
      <c r="O226" s="33"/>
      <c r="P226" s="68"/>
      <c r="Q226" s="69"/>
      <c r="R226" s="19"/>
      <c r="S226" s="19"/>
      <c r="T226" s="19"/>
      <c r="U226" s="19"/>
      <c r="V226" s="19"/>
      <c r="X226" s="347" t="s">
        <v>32</v>
      </c>
      <c r="Y226" s="348" t="s">
        <v>64</v>
      </c>
      <c r="Z226" s="387" t="s">
        <v>48</v>
      </c>
      <c r="AA226" s="388">
        <v>10</v>
      </c>
      <c r="AB226" s="389"/>
      <c r="AC226" s="357"/>
      <c r="AD226" s="353">
        <f>AD227</f>
        <v>5234.0999999999995</v>
      </c>
      <c r="AE226" s="353">
        <f>AE227</f>
        <v>5234.0999999999995</v>
      </c>
      <c r="AF226" s="468">
        <f t="shared" ref="AD226:AF227" si="57">AF227</f>
        <v>5005.0999999999995</v>
      </c>
      <c r="AG226" s="478">
        <f t="shared" si="48"/>
        <v>0.95624844767963924</v>
      </c>
      <c r="AH226" s="24"/>
      <c r="AI226" s="24"/>
      <c r="AJ226" s="115"/>
    </row>
    <row r="227" spans="1:36" s="80" customFormat="1" x14ac:dyDescent="0.25">
      <c r="A227" s="84"/>
      <c r="B227" s="66"/>
      <c r="C227" s="67"/>
      <c r="D227" s="67"/>
      <c r="E227" s="14"/>
      <c r="F227" s="67"/>
      <c r="G227" s="68"/>
      <c r="I227" s="18"/>
      <c r="J227" s="18"/>
      <c r="K227" s="18"/>
      <c r="L227" s="61"/>
      <c r="M227" s="18"/>
      <c r="N227" s="61"/>
      <c r="O227" s="33"/>
      <c r="P227" s="68"/>
      <c r="Q227" s="69"/>
      <c r="R227" s="19"/>
      <c r="S227" s="19"/>
      <c r="T227" s="19"/>
      <c r="U227" s="19"/>
      <c r="V227" s="19"/>
      <c r="X227" s="354" t="s">
        <v>238</v>
      </c>
      <c r="Y227" s="348" t="s">
        <v>64</v>
      </c>
      <c r="Z227" s="387" t="s">
        <v>48</v>
      </c>
      <c r="AA227" s="388">
        <v>10</v>
      </c>
      <c r="AB227" s="355" t="s">
        <v>239</v>
      </c>
      <c r="AC227" s="357"/>
      <c r="AD227" s="353">
        <f t="shared" si="57"/>
        <v>5234.0999999999995</v>
      </c>
      <c r="AE227" s="353">
        <f t="shared" si="57"/>
        <v>5234.0999999999995</v>
      </c>
      <c r="AF227" s="468">
        <f t="shared" si="57"/>
        <v>5005.0999999999995</v>
      </c>
      <c r="AG227" s="478">
        <f t="shared" si="48"/>
        <v>0.95624844767963924</v>
      </c>
      <c r="AH227" s="24"/>
      <c r="AI227" s="24"/>
      <c r="AJ227" s="115"/>
    </row>
    <row r="228" spans="1:36" s="80" customFormat="1" ht="31.5" x14ac:dyDescent="0.25">
      <c r="A228" s="84"/>
      <c r="B228" s="66"/>
      <c r="C228" s="67"/>
      <c r="D228" s="67"/>
      <c r="E228" s="14"/>
      <c r="F228" s="67"/>
      <c r="G228" s="68"/>
      <c r="I228" s="18"/>
      <c r="J228" s="18"/>
      <c r="K228" s="18"/>
      <c r="L228" s="61"/>
      <c r="M228" s="18"/>
      <c r="N228" s="61"/>
      <c r="O228" s="33"/>
      <c r="P228" s="68"/>
      <c r="Q228" s="69"/>
      <c r="R228" s="19"/>
      <c r="S228" s="19"/>
      <c r="T228" s="19"/>
      <c r="U228" s="19"/>
      <c r="V228" s="19"/>
      <c r="X228" s="354" t="s">
        <v>243</v>
      </c>
      <c r="Y228" s="348" t="s">
        <v>64</v>
      </c>
      <c r="Z228" s="387" t="s">
        <v>48</v>
      </c>
      <c r="AA228" s="388">
        <v>10</v>
      </c>
      <c r="AB228" s="355" t="s">
        <v>244</v>
      </c>
      <c r="AC228" s="390"/>
      <c r="AD228" s="353">
        <f>AD229+AD237+AD233</f>
        <v>5234.0999999999995</v>
      </c>
      <c r="AE228" s="353">
        <f>AE229+AE237+AE233</f>
        <v>5234.0999999999995</v>
      </c>
      <c r="AF228" s="468">
        <f>AF229+AF237+AF233</f>
        <v>5005.0999999999995</v>
      </c>
      <c r="AG228" s="478">
        <f t="shared" si="48"/>
        <v>0.95624844767963924</v>
      </c>
      <c r="AH228" s="24"/>
      <c r="AI228" s="24"/>
      <c r="AJ228" s="115"/>
    </row>
    <row r="229" spans="1:36" s="80" customFormat="1" x14ac:dyDescent="0.25">
      <c r="A229" s="84"/>
      <c r="B229" s="66"/>
      <c r="C229" s="67"/>
      <c r="D229" s="67"/>
      <c r="E229" s="14"/>
      <c r="F229" s="67"/>
      <c r="G229" s="68"/>
      <c r="I229" s="18"/>
      <c r="J229" s="18"/>
      <c r="K229" s="18"/>
      <c r="L229" s="61"/>
      <c r="M229" s="18"/>
      <c r="N229" s="61"/>
      <c r="O229" s="33"/>
      <c r="P229" s="68"/>
      <c r="Q229" s="69"/>
      <c r="R229" s="19"/>
      <c r="S229" s="19"/>
      <c r="T229" s="19"/>
      <c r="U229" s="19"/>
      <c r="V229" s="19"/>
      <c r="X229" s="354" t="s">
        <v>393</v>
      </c>
      <c r="Y229" s="348" t="s">
        <v>64</v>
      </c>
      <c r="Z229" s="387" t="s">
        <v>48</v>
      </c>
      <c r="AA229" s="388">
        <v>10</v>
      </c>
      <c r="AB229" s="355" t="s">
        <v>394</v>
      </c>
      <c r="AC229" s="390"/>
      <c r="AD229" s="353">
        <f t="shared" ref="AD229:AF231" si="58">AD230</f>
        <v>4811.2</v>
      </c>
      <c r="AE229" s="353">
        <f t="shared" si="58"/>
        <v>4811.2</v>
      </c>
      <c r="AF229" s="468">
        <f t="shared" si="58"/>
        <v>4616</v>
      </c>
      <c r="AG229" s="478">
        <f t="shared" si="48"/>
        <v>0.95942800133022954</v>
      </c>
      <c r="AH229" s="24"/>
      <c r="AI229" s="24"/>
      <c r="AJ229" s="115"/>
    </row>
    <row r="230" spans="1:36" s="80" customFormat="1" x14ac:dyDescent="0.25">
      <c r="A230" s="84"/>
      <c r="B230" s="66"/>
      <c r="C230" s="67"/>
      <c r="D230" s="67"/>
      <c r="E230" s="14"/>
      <c r="F230" s="67"/>
      <c r="G230" s="68"/>
      <c r="I230" s="18"/>
      <c r="J230" s="18"/>
      <c r="K230" s="18"/>
      <c r="L230" s="61"/>
      <c r="M230" s="18"/>
      <c r="N230" s="61"/>
      <c r="O230" s="33"/>
      <c r="P230" s="68"/>
      <c r="Q230" s="69"/>
      <c r="R230" s="19"/>
      <c r="S230" s="19"/>
      <c r="T230" s="19"/>
      <c r="U230" s="19"/>
      <c r="V230" s="19"/>
      <c r="X230" s="368" t="s">
        <v>395</v>
      </c>
      <c r="Y230" s="348" t="s">
        <v>64</v>
      </c>
      <c r="Z230" s="387" t="s">
        <v>48</v>
      </c>
      <c r="AA230" s="388">
        <v>10</v>
      </c>
      <c r="AB230" s="355" t="s">
        <v>396</v>
      </c>
      <c r="AC230" s="391"/>
      <c r="AD230" s="353">
        <f t="shared" si="58"/>
        <v>4811.2</v>
      </c>
      <c r="AE230" s="353">
        <f t="shared" si="58"/>
        <v>4811.2</v>
      </c>
      <c r="AF230" s="468">
        <f t="shared" si="58"/>
        <v>4616</v>
      </c>
      <c r="AG230" s="478">
        <f t="shared" si="48"/>
        <v>0.95942800133022954</v>
      </c>
      <c r="AH230" s="24"/>
      <c r="AI230" s="24"/>
      <c r="AJ230" s="115"/>
    </row>
    <row r="231" spans="1:36" s="80" customFormat="1" x14ac:dyDescent="0.25">
      <c r="A231" s="84"/>
      <c r="B231" s="66"/>
      <c r="C231" s="67"/>
      <c r="D231" s="67"/>
      <c r="E231" s="14"/>
      <c r="F231" s="67"/>
      <c r="G231" s="68"/>
      <c r="I231" s="18"/>
      <c r="J231" s="18"/>
      <c r="K231" s="18"/>
      <c r="L231" s="61"/>
      <c r="M231" s="18"/>
      <c r="N231" s="61"/>
      <c r="O231" s="33"/>
      <c r="P231" s="68"/>
      <c r="Q231" s="69"/>
      <c r="R231" s="19"/>
      <c r="S231" s="19"/>
      <c r="T231" s="19"/>
      <c r="U231" s="19"/>
      <c r="V231" s="19"/>
      <c r="X231" s="347" t="s">
        <v>121</v>
      </c>
      <c r="Y231" s="348" t="s">
        <v>64</v>
      </c>
      <c r="Z231" s="387" t="s">
        <v>48</v>
      </c>
      <c r="AA231" s="388">
        <v>10</v>
      </c>
      <c r="AB231" s="355" t="s">
        <v>396</v>
      </c>
      <c r="AC231" s="357">
        <v>200</v>
      </c>
      <c r="AD231" s="353">
        <f t="shared" si="58"/>
        <v>4811.2</v>
      </c>
      <c r="AE231" s="353">
        <f t="shared" si="58"/>
        <v>4811.2</v>
      </c>
      <c r="AF231" s="468">
        <f t="shared" si="58"/>
        <v>4616</v>
      </c>
      <c r="AG231" s="478">
        <f t="shared" si="48"/>
        <v>0.95942800133022954</v>
      </c>
      <c r="AH231" s="24"/>
      <c r="AI231" s="24"/>
      <c r="AJ231" s="115"/>
    </row>
    <row r="232" spans="1:36" s="80" customFormat="1" ht="31.5" x14ac:dyDescent="0.25">
      <c r="A232" s="84"/>
      <c r="B232" s="66"/>
      <c r="C232" s="67"/>
      <c r="D232" s="67"/>
      <c r="E232" s="14"/>
      <c r="F232" s="67"/>
      <c r="G232" s="68"/>
      <c r="I232" s="18"/>
      <c r="J232" s="18"/>
      <c r="K232" s="18"/>
      <c r="L232" s="61"/>
      <c r="M232" s="18"/>
      <c r="N232" s="61"/>
      <c r="O232" s="33"/>
      <c r="P232" s="68"/>
      <c r="Q232" s="69"/>
      <c r="R232" s="19"/>
      <c r="S232" s="19"/>
      <c r="T232" s="19"/>
      <c r="U232" s="19"/>
      <c r="V232" s="19"/>
      <c r="X232" s="347" t="s">
        <v>52</v>
      </c>
      <c r="Y232" s="348" t="s">
        <v>64</v>
      </c>
      <c r="Z232" s="387" t="s">
        <v>48</v>
      </c>
      <c r="AA232" s="388">
        <v>10</v>
      </c>
      <c r="AB232" s="355" t="s">
        <v>396</v>
      </c>
      <c r="AC232" s="357">
        <v>240</v>
      </c>
      <c r="AD232" s="353">
        <f>2450+300+217.4+800+800+170+104.7-15.9-15</f>
        <v>4811.2</v>
      </c>
      <c r="AE232" s="353">
        <f>2450+300+217.4+800+800+170+104.7-15.9-15</f>
        <v>4811.2</v>
      </c>
      <c r="AF232" s="468">
        <v>4616</v>
      </c>
      <c r="AG232" s="478">
        <f t="shared" si="48"/>
        <v>0.95942800133022954</v>
      </c>
      <c r="AH232" s="209"/>
      <c r="AI232" s="24"/>
      <c r="AJ232" s="115"/>
    </row>
    <row r="233" spans="1:36" s="80" customFormat="1" x14ac:dyDescent="0.25">
      <c r="A233" s="84"/>
      <c r="B233" s="66"/>
      <c r="C233" s="67"/>
      <c r="D233" s="67"/>
      <c r="E233" s="14"/>
      <c r="F233" s="67"/>
      <c r="G233" s="68"/>
      <c r="I233" s="18"/>
      <c r="J233" s="18"/>
      <c r="K233" s="18"/>
      <c r="L233" s="61"/>
      <c r="M233" s="18"/>
      <c r="N233" s="61"/>
      <c r="O233" s="33"/>
      <c r="P233" s="68"/>
      <c r="Q233" s="69"/>
      <c r="R233" s="19"/>
      <c r="S233" s="19"/>
      <c r="T233" s="19"/>
      <c r="U233" s="19"/>
      <c r="V233" s="19"/>
      <c r="X233" s="354" t="s">
        <v>414</v>
      </c>
      <c r="Y233" s="348" t="s">
        <v>64</v>
      </c>
      <c r="Z233" s="387" t="s">
        <v>48</v>
      </c>
      <c r="AA233" s="388">
        <v>10</v>
      </c>
      <c r="AB233" s="355" t="s">
        <v>415</v>
      </c>
      <c r="AC233" s="357"/>
      <c r="AD233" s="353">
        <f t="shared" ref="AD233:AF235" si="59">AD234</f>
        <v>125.9</v>
      </c>
      <c r="AE233" s="353">
        <f t="shared" si="59"/>
        <v>125.9</v>
      </c>
      <c r="AF233" s="468">
        <f t="shared" si="59"/>
        <v>116.9</v>
      </c>
      <c r="AG233" s="478">
        <f t="shared" si="48"/>
        <v>0.92851469420174737</v>
      </c>
      <c r="AH233" s="24"/>
      <c r="AI233" s="24"/>
      <c r="AJ233" s="115"/>
    </row>
    <row r="234" spans="1:36" s="80" customFormat="1" x14ac:dyDescent="0.25">
      <c r="A234" s="84"/>
      <c r="B234" s="66"/>
      <c r="C234" s="67"/>
      <c r="D234" s="67"/>
      <c r="E234" s="14"/>
      <c r="F234" s="67"/>
      <c r="G234" s="68"/>
      <c r="I234" s="18"/>
      <c r="J234" s="18"/>
      <c r="K234" s="18"/>
      <c r="L234" s="61"/>
      <c r="M234" s="18"/>
      <c r="N234" s="61"/>
      <c r="O234" s="33"/>
      <c r="P234" s="68"/>
      <c r="Q234" s="69"/>
      <c r="R234" s="19"/>
      <c r="S234" s="19"/>
      <c r="T234" s="19"/>
      <c r="U234" s="19"/>
      <c r="V234" s="19"/>
      <c r="X234" s="368" t="s">
        <v>416</v>
      </c>
      <c r="Y234" s="348" t="s">
        <v>64</v>
      </c>
      <c r="Z234" s="387" t="s">
        <v>48</v>
      </c>
      <c r="AA234" s="388">
        <v>10</v>
      </c>
      <c r="AB234" s="355" t="s">
        <v>417</v>
      </c>
      <c r="AC234" s="357"/>
      <c r="AD234" s="353">
        <f t="shared" si="59"/>
        <v>125.9</v>
      </c>
      <c r="AE234" s="353">
        <f t="shared" si="59"/>
        <v>125.9</v>
      </c>
      <c r="AF234" s="468">
        <f t="shared" si="59"/>
        <v>116.9</v>
      </c>
      <c r="AG234" s="478">
        <f t="shared" si="48"/>
        <v>0.92851469420174737</v>
      </c>
      <c r="AH234" s="24"/>
      <c r="AI234" s="24"/>
      <c r="AJ234" s="115"/>
    </row>
    <row r="235" spans="1:36" s="80" customFormat="1" x14ac:dyDescent="0.25">
      <c r="A235" s="84"/>
      <c r="B235" s="66"/>
      <c r="C235" s="67"/>
      <c r="D235" s="67"/>
      <c r="E235" s="14"/>
      <c r="F235" s="67"/>
      <c r="G235" s="68"/>
      <c r="I235" s="18"/>
      <c r="J235" s="18"/>
      <c r="K235" s="18"/>
      <c r="L235" s="61"/>
      <c r="M235" s="18"/>
      <c r="N235" s="61"/>
      <c r="O235" s="33"/>
      <c r="P235" s="68"/>
      <c r="Q235" s="69"/>
      <c r="R235" s="19"/>
      <c r="S235" s="19"/>
      <c r="T235" s="19"/>
      <c r="U235" s="19"/>
      <c r="V235" s="19"/>
      <c r="X235" s="347" t="s">
        <v>121</v>
      </c>
      <c r="Y235" s="348" t="s">
        <v>64</v>
      </c>
      <c r="Z235" s="387" t="s">
        <v>48</v>
      </c>
      <c r="AA235" s="388">
        <v>10</v>
      </c>
      <c r="AB235" s="355" t="s">
        <v>417</v>
      </c>
      <c r="AC235" s="357">
        <v>200</v>
      </c>
      <c r="AD235" s="353">
        <f t="shared" si="59"/>
        <v>125.9</v>
      </c>
      <c r="AE235" s="353">
        <f t="shared" si="59"/>
        <v>125.9</v>
      </c>
      <c r="AF235" s="468">
        <f t="shared" si="59"/>
        <v>116.9</v>
      </c>
      <c r="AG235" s="478">
        <f t="shared" si="48"/>
        <v>0.92851469420174737</v>
      </c>
      <c r="AH235" s="24"/>
      <c r="AI235" s="24"/>
      <c r="AJ235" s="115"/>
    </row>
    <row r="236" spans="1:36" s="80" customFormat="1" ht="31.5" x14ac:dyDescent="0.25">
      <c r="A236" s="84"/>
      <c r="B236" s="66"/>
      <c r="C236" s="67"/>
      <c r="D236" s="67"/>
      <c r="E236" s="14"/>
      <c r="F236" s="67"/>
      <c r="G236" s="68"/>
      <c r="I236" s="18"/>
      <c r="J236" s="18"/>
      <c r="K236" s="18"/>
      <c r="L236" s="61"/>
      <c r="M236" s="18"/>
      <c r="N236" s="61"/>
      <c r="O236" s="33"/>
      <c r="P236" s="68"/>
      <c r="Q236" s="69"/>
      <c r="R236" s="19"/>
      <c r="S236" s="19"/>
      <c r="T236" s="19"/>
      <c r="U236" s="19"/>
      <c r="V236" s="19"/>
      <c r="X236" s="347" t="s">
        <v>52</v>
      </c>
      <c r="Y236" s="348" t="s">
        <v>64</v>
      </c>
      <c r="Z236" s="387" t="s">
        <v>48</v>
      </c>
      <c r="AA236" s="388">
        <v>10</v>
      </c>
      <c r="AB236" s="355" t="s">
        <v>417</v>
      </c>
      <c r="AC236" s="357">
        <v>240</v>
      </c>
      <c r="AD236" s="353">
        <f>110+15.9</f>
        <v>125.9</v>
      </c>
      <c r="AE236" s="353">
        <f>110+15.9</f>
        <v>125.9</v>
      </c>
      <c r="AF236" s="468">
        <v>116.9</v>
      </c>
      <c r="AG236" s="478">
        <f t="shared" si="48"/>
        <v>0.92851469420174737</v>
      </c>
      <c r="AH236" s="24"/>
      <c r="AI236" s="24"/>
      <c r="AJ236" s="115"/>
    </row>
    <row r="237" spans="1:36" s="80" customFormat="1" x14ac:dyDescent="0.25">
      <c r="A237" s="84"/>
      <c r="B237" s="66"/>
      <c r="C237" s="67"/>
      <c r="D237" s="67"/>
      <c r="E237" s="14"/>
      <c r="F237" s="67"/>
      <c r="G237" s="68"/>
      <c r="I237" s="18"/>
      <c r="J237" s="18"/>
      <c r="K237" s="18"/>
      <c r="L237" s="61"/>
      <c r="M237" s="18"/>
      <c r="N237" s="61"/>
      <c r="O237" s="33"/>
      <c r="P237" s="68"/>
      <c r="Q237" s="69"/>
      <c r="R237" s="19"/>
      <c r="S237" s="19"/>
      <c r="T237" s="19"/>
      <c r="U237" s="19"/>
      <c r="V237" s="19"/>
      <c r="X237" s="354" t="s">
        <v>397</v>
      </c>
      <c r="Y237" s="348" t="s">
        <v>64</v>
      </c>
      <c r="Z237" s="387" t="s">
        <v>48</v>
      </c>
      <c r="AA237" s="388">
        <v>10</v>
      </c>
      <c r="AB237" s="355" t="s">
        <v>398</v>
      </c>
      <c r="AC237" s="357"/>
      <c r="AD237" s="353">
        <f t="shared" ref="AD237:AF239" si="60">AD238</f>
        <v>297</v>
      </c>
      <c r="AE237" s="353">
        <f t="shared" si="60"/>
        <v>297</v>
      </c>
      <c r="AF237" s="468">
        <f t="shared" si="60"/>
        <v>272.2</v>
      </c>
      <c r="AG237" s="478">
        <f t="shared" si="48"/>
        <v>0.91649831649831648</v>
      </c>
      <c r="AH237" s="24"/>
      <c r="AI237" s="24"/>
      <c r="AJ237" s="115"/>
    </row>
    <row r="238" spans="1:36" s="80" customFormat="1" x14ac:dyDescent="0.25">
      <c r="A238" s="84"/>
      <c r="B238" s="66"/>
      <c r="C238" s="67"/>
      <c r="D238" s="67"/>
      <c r="E238" s="14"/>
      <c r="F238" s="67"/>
      <c r="G238" s="68"/>
      <c r="I238" s="18"/>
      <c r="J238" s="18"/>
      <c r="K238" s="18"/>
      <c r="L238" s="61"/>
      <c r="M238" s="18"/>
      <c r="N238" s="61"/>
      <c r="O238" s="33"/>
      <c r="P238" s="68"/>
      <c r="Q238" s="69"/>
      <c r="R238" s="19"/>
      <c r="S238" s="19"/>
      <c r="T238" s="19"/>
      <c r="U238" s="19"/>
      <c r="V238" s="19"/>
      <c r="X238" s="368" t="s">
        <v>399</v>
      </c>
      <c r="Y238" s="348" t="s">
        <v>64</v>
      </c>
      <c r="Z238" s="387" t="s">
        <v>48</v>
      </c>
      <c r="AA238" s="388">
        <v>10</v>
      </c>
      <c r="AB238" s="355" t="s">
        <v>400</v>
      </c>
      <c r="AC238" s="357"/>
      <c r="AD238" s="353">
        <f t="shared" si="60"/>
        <v>297</v>
      </c>
      <c r="AE238" s="353">
        <f t="shared" si="60"/>
        <v>297</v>
      </c>
      <c r="AF238" s="468">
        <f t="shared" si="60"/>
        <v>272.2</v>
      </c>
      <c r="AG238" s="478">
        <f t="shared" si="48"/>
        <v>0.91649831649831648</v>
      </c>
      <c r="AH238" s="24"/>
      <c r="AI238" s="24"/>
      <c r="AJ238" s="115"/>
    </row>
    <row r="239" spans="1:36" s="80" customFormat="1" x14ac:dyDescent="0.25">
      <c r="A239" s="84"/>
      <c r="B239" s="66"/>
      <c r="C239" s="67"/>
      <c r="D239" s="67"/>
      <c r="E239" s="14"/>
      <c r="F239" s="67"/>
      <c r="G239" s="68"/>
      <c r="I239" s="18"/>
      <c r="J239" s="18"/>
      <c r="K239" s="18"/>
      <c r="L239" s="61"/>
      <c r="M239" s="18"/>
      <c r="N239" s="61"/>
      <c r="O239" s="33"/>
      <c r="P239" s="68"/>
      <c r="Q239" s="69"/>
      <c r="R239" s="19"/>
      <c r="S239" s="19"/>
      <c r="T239" s="19"/>
      <c r="U239" s="19"/>
      <c r="V239" s="19"/>
      <c r="X239" s="347" t="s">
        <v>121</v>
      </c>
      <c r="Y239" s="348" t="s">
        <v>64</v>
      </c>
      <c r="Z239" s="387" t="s">
        <v>48</v>
      </c>
      <c r="AA239" s="388">
        <v>10</v>
      </c>
      <c r="AB239" s="355" t="s">
        <v>400</v>
      </c>
      <c r="AC239" s="357">
        <v>200</v>
      </c>
      <c r="AD239" s="353">
        <f t="shared" si="60"/>
        <v>297</v>
      </c>
      <c r="AE239" s="353">
        <f t="shared" si="60"/>
        <v>297</v>
      </c>
      <c r="AF239" s="468">
        <f t="shared" si="60"/>
        <v>272.2</v>
      </c>
      <c r="AG239" s="478">
        <f t="shared" si="48"/>
        <v>0.91649831649831648</v>
      </c>
      <c r="AH239" s="24"/>
      <c r="AI239" s="24"/>
      <c r="AJ239" s="115"/>
    </row>
    <row r="240" spans="1:36" s="80" customFormat="1" ht="31.5" x14ac:dyDescent="0.25">
      <c r="A240" s="84"/>
      <c r="B240" s="66"/>
      <c r="C240" s="67"/>
      <c r="D240" s="67"/>
      <c r="E240" s="14"/>
      <c r="F240" s="67"/>
      <c r="G240" s="68"/>
      <c r="I240" s="18"/>
      <c r="J240" s="18"/>
      <c r="K240" s="18"/>
      <c r="L240" s="61"/>
      <c r="M240" s="18"/>
      <c r="N240" s="61"/>
      <c r="O240" s="33"/>
      <c r="P240" s="68"/>
      <c r="Q240" s="69"/>
      <c r="R240" s="19"/>
      <c r="S240" s="19"/>
      <c r="T240" s="19"/>
      <c r="U240" s="19"/>
      <c r="V240" s="19"/>
      <c r="X240" s="347" t="s">
        <v>52</v>
      </c>
      <c r="Y240" s="348" t="s">
        <v>64</v>
      </c>
      <c r="Z240" s="387" t="s">
        <v>48</v>
      </c>
      <c r="AA240" s="388">
        <v>10</v>
      </c>
      <c r="AB240" s="355" t="s">
        <v>400</v>
      </c>
      <c r="AC240" s="357">
        <v>240</v>
      </c>
      <c r="AD240" s="353">
        <f>300-3</f>
        <v>297</v>
      </c>
      <c r="AE240" s="353">
        <f>300-3</f>
        <v>297</v>
      </c>
      <c r="AF240" s="468">
        <v>272.2</v>
      </c>
      <c r="AG240" s="478">
        <f t="shared" si="48"/>
        <v>0.91649831649831648</v>
      </c>
      <c r="AH240" s="24"/>
      <c r="AI240" s="24"/>
      <c r="AJ240" s="115"/>
    </row>
    <row r="241" spans="1:36" s="80" customFormat="1" x14ac:dyDescent="0.25">
      <c r="A241" s="85"/>
      <c r="B241" s="25"/>
      <c r="C241" s="1"/>
      <c r="D241" s="1"/>
      <c r="E241" s="2"/>
      <c r="F241" s="2"/>
      <c r="G241" s="86"/>
      <c r="I241" s="18"/>
      <c r="J241" s="18"/>
      <c r="K241" s="18"/>
      <c r="L241" s="61"/>
      <c r="M241" s="18"/>
      <c r="N241" s="61"/>
      <c r="O241" s="33"/>
      <c r="P241" s="68"/>
      <c r="Q241" s="69"/>
      <c r="R241" s="19"/>
      <c r="S241" s="19"/>
      <c r="T241" s="19"/>
      <c r="U241" s="19"/>
      <c r="V241" s="19"/>
      <c r="X241" s="347" t="s">
        <v>51</v>
      </c>
      <c r="Y241" s="348" t="s">
        <v>64</v>
      </c>
      <c r="Z241" s="349" t="s">
        <v>48</v>
      </c>
      <c r="AA241" s="350">
        <v>12</v>
      </c>
      <c r="AB241" s="392"/>
      <c r="AC241" s="357"/>
      <c r="AD241" s="353">
        <f>AD242+AD251</f>
        <v>1422.9</v>
      </c>
      <c r="AE241" s="353">
        <f>AE242+AE251</f>
        <v>1422.9</v>
      </c>
      <c r="AF241" s="468">
        <f t="shared" ref="AF241" si="61">AF242+AF251</f>
        <v>811.3</v>
      </c>
      <c r="AG241" s="478">
        <f t="shared" si="48"/>
        <v>0.57017358914892113</v>
      </c>
      <c r="AH241" s="24"/>
      <c r="AI241" s="24"/>
      <c r="AJ241" s="115"/>
    </row>
    <row r="242" spans="1:36" s="80" customFormat="1" ht="31.5" x14ac:dyDescent="0.25">
      <c r="A242" s="17"/>
      <c r="B242" s="66"/>
      <c r="C242" s="67"/>
      <c r="D242" s="67"/>
      <c r="E242" s="14"/>
      <c r="F242" s="14"/>
      <c r="G242" s="19"/>
      <c r="I242" s="18"/>
      <c r="J242" s="18"/>
      <c r="K242" s="18"/>
      <c r="L242" s="61"/>
      <c r="M242" s="18"/>
      <c r="N242" s="61"/>
      <c r="O242" s="33"/>
      <c r="P242" s="68"/>
      <c r="Q242" s="69"/>
      <c r="R242" s="19"/>
      <c r="S242" s="19"/>
      <c r="T242" s="19"/>
      <c r="U242" s="19"/>
      <c r="V242" s="19"/>
      <c r="X242" s="354" t="s">
        <v>163</v>
      </c>
      <c r="Y242" s="348" t="s">
        <v>64</v>
      </c>
      <c r="Z242" s="349" t="s">
        <v>48</v>
      </c>
      <c r="AA242" s="350">
        <v>12</v>
      </c>
      <c r="AB242" s="351" t="s">
        <v>103</v>
      </c>
      <c r="AC242" s="357"/>
      <c r="AD242" s="353">
        <f t="shared" ref="AD242:AF243" si="62">AD243</f>
        <v>922.90000000000009</v>
      </c>
      <c r="AE242" s="353">
        <f t="shared" si="62"/>
        <v>922.90000000000009</v>
      </c>
      <c r="AF242" s="468">
        <f t="shared" si="62"/>
        <v>311.3</v>
      </c>
      <c r="AG242" s="478">
        <f t="shared" si="48"/>
        <v>0.33730631704410008</v>
      </c>
      <c r="AH242" s="24"/>
      <c r="AI242" s="24"/>
      <c r="AJ242" s="115"/>
    </row>
    <row r="243" spans="1:36" s="80" customFormat="1" x14ac:dyDescent="0.25">
      <c r="A243" s="17"/>
      <c r="B243" s="66"/>
      <c r="C243" s="67"/>
      <c r="D243" s="67"/>
      <c r="E243" s="14"/>
      <c r="F243" s="14"/>
      <c r="G243" s="19"/>
      <c r="I243" s="18"/>
      <c r="J243" s="18"/>
      <c r="K243" s="18"/>
      <c r="L243" s="61"/>
      <c r="M243" s="18"/>
      <c r="N243" s="61"/>
      <c r="O243" s="33"/>
      <c r="P243" s="68"/>
      <c r="Q243" s="69"/>
      <c r="R243" s="19"/>
      <c r="S243" s="19"/>
      <c r="T243" s="19"/>
      <c r="U243" s="19"/>
      <c r="V243" s="19"/>
      <c r="X243" s="354" t="s">
        <v>164</v>
      </c>
      <c r="Y243" s="348" t="s">
        <v>64</v>
      </c>
      <c r="Z243" s="349" t="s">
        <v>48</v>
      </c>
      <c r="AA243" s="350">
        <v>12</v>
      </c>
      <c r="AB243" s="351" t="s">
        <v>107</v>
      </c>
      <c r="AC243" s="357"/>
      <c r="AD243" s="353">
        <f t="shared" si="62"/>
        <v>922.90000000000009</v>
      </c>
      <c r="AE243" s="353">
        <f t="shared" si="62"/>
        <v>922.90000000000009</v>
      </c>
      <c r="AF243" s="468">
        <f t="shared" si="62"/>
        <v>311.3</v>
      </c>
      <c r="AG243" s="478">
        <f t="shared" si="48"/>
        <v>0.33730631704410008</v>
      </c>
      <c r="AH243" s="24"/>
      <c r="AI243" s="24"/>
      <c r="AJ243" s="115"/>
    </row>
    <row r="244" spans="1:36" s="80" customFormat="1" x14ac:dyDescent="0.25">
      <c r="A244" s="17"/>
      <c r="B244" s="66"/>
      <c r="C244" s="67"/>
      <c r="D244" s="67"/>
      <c r="E244" s="14"/>
      <c r="F244" s="14"/>
      <c r="G244" s="19"/>
      <c r="I244" s="18"/>
      <c r="J244" s="18"/>
      <c r="K244" s="18"/>
      <c r="L244" s="61"/>
      <c r="M244" s="18"/>
      <c r="N244" s="61"/>
      <c r="O244" s="33"/>
      <c r="P244" s="68"/>
      <c r="Q244" s="69"/>
      <c r="R244" s="19"/>
      <c r="S244" s="19"/>
      <c r="T244" s="19"/>
      <c r="U244" s="19"/>
      <c r="V244" s="19"/>
      <c r="X244" s="374" t="s">
        <v>566</v>
      </c>
      <c r="Y244" s="348" t="s">
        <v>64</v>
      </c>
      <c r="Z244" s="349" t="s">
        <v>48</v>
      </c>
      <c r="AA244" s="350">
        <v>12</v>
      </c>
      <c r="AB244" s="351" t="s">
        <v>348</v>
      </c>
      <c r="AC244" s="372"/>
      <c r="AD244" s="353">
        <f>AD245+AD248</f>
        <v>922.90000000000009</v>
      </c>
      <c r="AE244" s="353">
        <f>AE245+AE248</f>
        <v>922.90000000000009</v>
      </c>
      <c r="AF244" s="468">
        <f>AF245+AF248</f>
        <v>311.3</v>
      </c>
      <c r="AG244" s="478">
        <f t="shared" si="48"/>
        <v>0.33730631704410008</v>
      </c>
      <c r="AH244" s="24"/>
      <c r="AI244" s="24"/>
      <c r="AJ244" s="115"/>
    </row>
    <row r="245" spans="1:36" s="80" customFormat="1" x14ac:dyDescent="0.25">
      <c r="A245" s="17"/>
      <c r="B245" s="66"/>
      <c r="C245" s="67"/>
      <c r="D245" s="67"/>
      <c r="E245" s="14"/>
      <c r="F245" s="14"/>
      <c r="G245" s="19"/>
      <c r="I245" s="18"/>
      <c r="J245" s="18"/>
      <c r="K245" s="18"/>
      <c r="L245" s="61"/>
      <c r="M245" s="18"/>
      <c r="N245" s="61"/>
      <c r="O245" s="33"/>
      <c r="P245" s="68"/>
      <c r="Q245" s="69"/>
      <c r="R245" s="19"/>
      <c r="S245" s="19"/>
      <c r="T245" s="19"/>
      <c r="U245" s="19"/>
      <c r="V245" s="19"/>
      <c r="X245" s="368" t="s">
        <v>253</v>
      </c>
      <c r="Y245" s="348" t="s">
        <v>64</v>
      </c>
      <c r="Z245" s="349" t="s">
        <v>48</v>
      </c>
      <c r="AA245" s="350">
        <v>12</v>
      </c>
      <c r="AB245" s="355" t="s">
        <v>347</v>
      </c>
      <c r="AC245" s="352"/>
      <c r="AD245" s="353">
        <f t="shared" ref="AD245:AF246" si="63">AD246</f>
        <v>575.90000000000009</v>
      </c>
      <c r="AE245" s="353">
        <f t="shared" si="63"/>
        <v>575.90000000000009</v>
      </c>
      <c r="AF245" s="468">
        <f t="shared" si="63"/>
        <v>39</v>
      </c>
      <c r="AG245" s="478">
        <f t="shared" si="48"/>
        <v>6.7720090293453716E-2</v>
      </c>
      <c r="AH245" s="24"/>
      <c r="AI245" s="24"/>
      <c r="AJ245" s="115"/>
    </row>
    <row r="246" spans="1:36" s="80" customFormat="1" x14ac:dyDescent="0.25">
      <c r="A246" s="17"/>
      <c r="B246" s="66"/>
      <c r="C246" s="67"/>
      <c r="D246" s="67"/>
      <c r="E246" s="14"/>
      <c r="F246" s="14"/>
      <c r="G246" s="19"/>
      <c r="I246" s="18"/>
      <c r="J246" s="18"/>
      <c r="K246" s="18"/>
      <c r="L246" s="61"/>
      <c r="M246" s="18"/>
      <c r="N246" s="61"/>
      <c r="O246" s="33"/>
      <c r="P246" s="68"/>
      <c r="Q246" s="69"/>
      <c r="R246" s="19"/>
      <c r="S246" s="19"/>
      <c r="T246" s="19"/>
      <c r="U246" s="19"/>
      <c r="V246" s="19"/>
      <c r="X246" s="347" t="s">
        <v>121</v>
      </c>
      <c r="Y246" s="348" t="s">
        <v>64</v>
      </c>
      <c r="Z246" s="349" t="s">
        <v>48</v>
      </c>
      <c r="AA246" s="350">
        <v>12</v>
      </c>
      <c r="AB246" s="355" t="s">
        <v>347</v>
      </c>
      <c r="AC246" s="357">
        <v>200</v>
      </c>
      <c r="AD246" s="353">
        <f t="shared" si="63"/>
        <v>575.90000000000009</v>
      </c>
      <c r="AE246" s="353">
        <f t="shared" si="63"/>
        <v>575.90000000000009</v>
      </c>
      <c r="AF246" s="468">
        <f t="shared" si="63"/>
        <v>39</v>
      </c>
      <c r="AG246" s="478">
        <f t="shared" si="48"/>
        <v>6.7720090293453716E-2</v>
      </c>
      <c r="AH246" s="212"/>
      <c r="AI246" s="24"/>
      <c r="AJ246" s="115"/>
    </row>
    <row r="247" spans="1:36" s="80" customFormat="1" ht="31.5" x14ac:dyDescent="0.25">
      <c r="A247" s="17"/>
      <c r="B247" s="66"/>
      <c r="C247" s="67"/>
      <c r="D247" s="67"/>
      <c r="E247" s="14"/>
      <c r="F247" s="14"/>
      <c r="G247" s="19"/>
      <c r="I247" s="18"/>
      <c r="J247" s="18"/>
      <c r="K247" s="18"/>
      <c r="L247" s="61"/>
      <c r="M247" s="18"/>
      <c r="N247" s="61"/>
      <c r="O247" s="33"/>
      <c r="P247" s="68"/>
      <c r="Q247" s="69"/>
      <c r="R247" s="19"/>
      <c r="S247" s="19"/>
      <c r="T247" s="19"/>
      <c r="U247" s="19"/>
      <c r="V247" s="19"/>
      <c r="X247" s="347" t="s">
        <v>52</v>
      </c>
      <c r="Y247" s="348" t="s">
        <v>64</v>
      </c>
      <c r="Z247" s="349" t="s">
        <v>48</v>
      </c>
      <c r="AA247" s="350">
        <v>12</v>
      </c>
      <c r="AB247" s="355" t="s">
        <v>347</v>
      </c>
      <c r="AC247" s="357">
        <v>240</v>
      </c>
      <c r="AD247" s="353">
        <f>575.9+1000-1000</f>
        <v>575.90000000000009</v>
      </c>
      <c r="AE247" s="353">
        <f>575.9+1000-1000</f>
        <v>575.90000000000009</v>
      </c>
      <c r="AF247" s="468">
        <v>39</v>
      </c>
      <c r="AG247" s="478">
        <f t="shared" ref="AG247:AG310" si="64">AF247/AE247</f>
        <v>6.7720090293453716E-2</v>
      </c>
      <c r="AH247" s="24"/>
      <c r="AI247" s="24"/>
      <c r="AJ247" s="115"/>
    </row>
    <row r="248" spans="1:36" s="80" customFormat="1" ht="47.25" x14ac:dyDescent="0.25">
      <c r="A248" s="17"/>
      <c r="B248" s="66"/>
      <c r="C248" s="67"/>
      <c r="D248" s="67"/>
      <c r="E248" s="14"/>
      <c r="F248" s="14"/>
      <c r="G248" s="19"/>
      <c r="I248" s="18"/>
      <c r="J248" s="18"/>
      <c r="K248" s="18"/>
      <c r="L248" s="61"/>
      <c r="M248" s="18"/>
      <c r="N248" s="61"/>
      <c r="O248" s="33"/>
      <c r="P248" s="68"/>
      <c r="Q248" s="69"/>
      <c r="R248" s="19"/>
      <c r="S248" s="19"/>
      <c r="T248" s="19"/>
      <c r="U248" s="19"/>
      <c r="V248" s="19"/>
      <c r="X248" s="347" t="s">
        <v>378</v>
      </c>
      <c r="Y248" s="348" t="s">
        <v>64</v>
      </c>
      <c r="Z248" s="349" t="s">
        <v>48</v>
      </c>
      <c r="AA248" s="350">
        <v>12</v>
      </c>
      <c r="AB248" s="351" t="s">
        <v>377</v>
      </c>
      <c r="AC248" s="357"/>
      <c r="AD248" s="353">
        <f t="shared" ref="AD248:AF249" si="65">AD249</f>
        <v>347</v>
      </c>
      <c r="AE248" s="353">
        <f t="shared" si="65"/>
        <v>347</v>
      </c>
      <c r="AF248" s="468">
        <f t="shared" si="65"/>
        <v>272.3</v>
      </c>
      <c r="AG248" s="478">
        <f t="shared" si="64"/>
        <v>0.78472622478386167</v>
      </c>
      <c r="AH248" s="24"/>
      <c r="AI248" s="24"/>
      <c r="AJ248" s="115"/>
    </row>
    <row r="249" spans="1:36" s="80" customFormat="1" x14ac:dyDescent="0.25">
      <c r="A249" s="17"/>
      <c r="B249" s="66"/>
      <c r="C249" s="67"/>
      <c r="D249" s="67"/>
      <c r="E249" s="14"/>
      <c r="F249" s="14"/>
      <c r="G249" s="19"/>
      <c r="I249" s="18"/>
      <c r="J249" s="18"/>
      <c r="K249" s="18"/>
      <c r="L249" s="61"/>
      <c r="M249" s="18"/>
      <c r="N249" s="61"/>
      <c r="O249" s="33"/>
      <c r="P249" s="68"/>
      <c r="Q249" s="69"/>
      <c r="R249" s="19"/>
      <c r="S249" s="19"/>
      <c r="T249" s="19"/>
      <c r="U249" s="19"/>
      <c r="V249" s="19"/>
      <c r="X249" s="347" t="s">
        <v>121</v>
      </c>
      <c r="Y249" s="348" t="s">
        <v>64</v>
      </c>
      <c r="Z249" s="349" t="s">
        <v>48</v>
      </c>
      <c r="AA249" s="350">
        <v>12</v>
      </c>
      <c r="AB249" s="351" t="s">
        <v>377</v>
      </c>
      <c r="AC249" s="357">
        <v>200</v>
      </c>
      <c r="AD249" s="353">
        <f t="shared" si="65"/>
        <v>347</v>
      </c>
      <c r="AE249" s="353">
        <f t="shared" si="65"/>
        <v>347</v>
      </c>
      <c r="AF249" s="468">
        <f t="shared" si="65"/>
        <v>272.3</v>
      </c>
      <c r="AG249" s="478">
        <f t="shared" si="64"/>
        <v>0.78472622478386167</v>
      </c>
      <c r="AH249" s="24"/>
      <c r="AI249" s="24"/>
      <c r="AJ249" s="115"/>
    </row>
    <row r="250" spans="1:36" s="80" customFormat="1" ht="31.5" x14ac:dyDescent="0.25">
      <c r="A250" s="17"/>
      <c r="B250" s="66"/>
      <c r="C250" s="67"/>
      <c r="D250" s="67"/>
      <c r="E250" s="14"/>
      <c r="F250" s="14"/>
      <c r="G250" s="19"/>
      <c r="I250" s="18"/>
      <c r="J250" s="18"/>
      <c r="K250" s="18"/>
      <c r="L250" s="61"/>
      <c r="M250" s="18"/>
      <c r="N250" s="61"/>
      <c r="O250" s="33"/>
      <c r="P250" s="68"/>
      <c r="Q250" s="69"/>
      <c r="R250" s="19"/>
      <c r="S250" s="19"/>
      <c r="T250" s="19"/>
      <c r="U250" s="19"/>
      <c r="V250" s="19"/>
      <c r="X250" s="347" t="s">
        <v>52</v>
      </c>
      <c r="Y250" s="348" t="s">
        <v>64</v>
      </c>
      <c r="Z250" s="349" t="s">
        <v>48</v>
      </c>
      <c r="AA250" s="350">
        <v>12</v>
      </c>
      <c r="AB250" s="351" t="s">
        <v>377</v>
      </c>
      <c r="AC250" s="357">
        <v>240</v>
      </c>
      <c r="AD250" s="353">
        <v>347</v>
      </c>
      <c r="AE250" s="353">
        <v>347</v>
      </c>
      <c r="AF250" s="468">
        <v>272.3</v>
      </c>
      <c r="AG250" s="478">
        <f t="shared" si="64"/>
        <v>0.78472622478386167</v>
      </c>
      <c r="AH250" s="24"/>
      <c r="AI250" s="24"/>
      <c r="AJ250" s="115"/>
    </row>
    <row r="251" spans="1:36" s="80" customFormat="1" x14ac:dyDescent="0.25">
      <c r="A251" s="17"/>
      <c r="B251" s="66"/>
      <c r="C251" s="67"/>
      <c r="D251" s="67"/>
      <c r="E251" s="14"/>
      <c r="F251" s="14"/>
      <c r="G251" s="19"/>
      <c r="I251" s="18"/>
      <c r="J251" s="18"/>
      <c r="K251" s="18"/>
      <c r="L251" s="61"/>
      <c r="M251" s="18"/>
      <c r="N251" s="61"/>
      <c r="O251" s="33"/>
      <c r="P251" s="68"/>
      <c r="Q251" s="69"/>
      <c r="R251" s="19"/>
      <c r="S251" s="19"/>
      <c r="T251" s="19"/>
      <c r="U251" s="19"/>
      <c r="V251" s="19"/>
      <c r="X251" s="452" t="s">
        <v>784</v>
      </c>
      <c r="Y251" s="11" t="s">
        <v>64</v>
      </c>
      <c r="Z251" s="1" t="s">
        <v>48</v>
      </c>
      <c r="AA251" s="1">
        <v>12</v>
      </c>
      <c r="AB251" s="451" t="s">
        <v>785</v>
      </c>
      <c r="AC251" s="4"/>
      <c r="AD251" s="123">
        <f t="shared" ref="AD251:AE255" si="66">AD252</f>
        <v>500</v>
      </c>
      <c r="AE251" s="123">
        <f t="shared" si="66"/>
        <v>500</v>
      </c>
      <c r="AF251" s="313">
        <f t="shared" ref="AF251:AF255" si="67">AF252</f>
        <v>500</v>
      </c>
      <c r="AG251" s="478">
        <f t="shared" si="64"/>
        <v>1</v>
      </c>
      <c r="AH251" s="24"/>
      <c r="AI251" s="24"/>
      <c r="AJ251" s="115"/>
    </row>
    <row r="252" spans="1:36" s="80" customFormat="1" x14ac:dyDescent="0.25">
      <c r="A252" s="17"/>
      <c r="B252" s="66"/>
      <c r="C252" s="67"/>
      <c r="D252" s="67"/>
      <c r="E252" s="14"/>
      <c r="F252" s="14"/>
      <c r="G252" s="19"/>
      <c r="I252" s="18"/>
      <c r="J252" s="18"/>
      <c r="K252" s="18"/>
      <c r="L252" s="61"/>
      <c r="M252" s="18"/>
      <c r="N252" s="61"/>
      <c r="O252" s="33"/>
      <c r="P252" s="68"/>
      <c r="Q252" s="69"/>
      <c r="R252" s="19"/>
      <c r="S252" s="19"/>
      <c r="T252" s="19"/>
      <c r="U252" s="19"/>
      <c r="V252" s="19"/>
      <c r="X252" s="310" t="s">
        <v>786</v>
      </c>
      <c r="Y252" s="11" t="s">
        <v>64</v>
      </c>
      <c r="Z252" s="1" t="s">
        <v>48</v>
      </c>
      <c r="AA252" s="1">
        <v>12</v>
      </c>
      <c r="AB252" s="451" t="s">
        <v>787</v>
      </c>
      <c r="AC252" s="4"/>
      <c r="AD252" s="123">
        <f t="shared" si="66"/>
        <v>500</v>
      </c>
      <c r="AE252" s="123">
        <f t="shared" si="66"/>
        <v>500</v>
      </c>
      <c r="AF252" s="313">
        <f t="shared" si="67"/>
        <v>500</v>
      </c>
      <c r="AG252" s="478">
        <f t="shared" si="64"/>
        <v>1</v>
      </c>
      <c r="AH252" s="24"/>
      <c r="AI252" s="24"/>
      <c r="AJ252" s="115"/>
    </row>
    <row r="253" spans="1:36" s="80" customFormat="1" ht="31.5" x14ac:dyDescent="0.25">
      <c r="A253" s="17"/>
      <c r="B253" s="66"/>
      <c r="C253" s="67"/>
      <c r="D253" s="67"/>
      <c r="E253" s="14"/>
      <c r="F253" s="14"/>
      <c r="G253" s="19"/>
      <c r="I253" s="18"/>
      <c r="J253" s="18"/>
      <c r="K253" s="18"/>
      <c r="L253" s="61"/>
      <c r="M253" s="18"/>
      <c r="N253" s="61"/>
      <c r="O253" s="33"/>
      <c r="P253" s="68"/>
      <c r="Q253" s="69"/>
      <c r="R253" s="19"/>
      <c r="S253" s="19"/>
      <c r="T253" s="19"/>
      <c r="U253" s="19"/>
      <c r="V253" s="19"/>
      <c r="X253" s="310" t="s">
        <v>788</v>
      </c>
      <c r="Y253" s="11" t="s">
        <v>64</v>
      </c>
      <c r="Z253" s="1" t="s">
        <v>48</v>
      </c>
      <c r="AA253" s="1">
        <v>12</v>
      </c>
      <c r="AB253" s="451" t="s">
        <v>789</v>
      </c>
      <c r="AC253" s="4"/>
      <c r="AD253" s="123">
        <f t="shared" si="66"/>
        <v>500</v>
      </c>
      <c r="AE253" s="123">
        <f t="shared" si="66"/>
        <v>500</v>
      </c>
      <c r="AF253" s="313">
        <f t="shared" si="67"/>
        <v>500</v>
      </c>
      <c r="AG253" s="478">
        <f t="shared" si="64"/>
        <v>1</v>
      </c>
      <c r="AH253" s="24"/>
      <c r="AI253" s="24"/>
      <c r="AJ253" s="115"/>
    </row>
    <row r="254" spans="1:36" s="80" customFormat="1" x14ac:dyDescent="0.25">
      <c r="A254" s="17"/>
      <c r="B254" s="66"/>
      <c r="C254" s="67"/>
      <c r="D254" s="67"/>
      <c r="E254" s="14"/>
      <c r="F254" s="14"/>
      <c r="G254" s="19"/>
      <c r="I254" s="18"/>
      <c r="J254" s="18"/>
      <c r="K254" s="18"/>
      <c r="L254" s="61"/>
      <c r="M254" s="18"/>
      <c r="N254" s="61"/>
      <c r="O254" s="33"/>
      <c r="P254" s="68"/>
      <c r="Q254" s="69"/>
      <c r="R254" s="19"/>
      <c r="S254" s="19"/>
      <c r="T254" s="19"/>
      <c r="U254" s="19"/>
      <c r="V254" s="19"/>
      <c r="X254" s="310" t="s">
        <v>790</v>
      </c>
      <c r="Y254" s="11" t="s">
        <v>64</v>
      </c>
      <c r="Z254" s="1" t="s">
        <v>48</v>
      </c>
      <c r="AA254" s="1">
        <v>12</v>
      </c>
      <c r="AB254" s="451" t="s">
        <v>791</v>
      </c>
      <c r="AC254" s="4"/>
      <c r="AD254" s="123">
        <f t="shared" si="66"/>
        <v>500</v>
      </c>
      <c r="AE254" s="123">
        <f t="shared" si="66"/>
        <v>500</v>
      </c>
      <c r="AF254" s="313">
        <f t="shared" si="67"/>
        <v>500</v>
      </c>
      <c r="AG254" s="478">
        <f t="shared" si="64"/>
        <v>1</v>
      </c>
      <c r="AH254" s="24"/>
      <c r="AI254" s="24"/>
      <c r="AJ254" s="115"/>
    </row>
    <row r="255" spans="1:36" s="80" customFormat="1" x14ac:dyDescent="0.25">
      <c r="A255" s="17"/>
      <c r="B255" s="66"/>
      <c r="C255" s="67"/>
      <c r="D255" s="67"/>
      <c r="E255" s="14"/>
      <c r="F255" s="14"/>
      <c r="G255" s="19"/>
      <c r="I255" s="18"/>
      <c r="J255" s="18"/>
      <c r="K255" s="18"/>
      <c r="L255" s="61"/>
      <c r="M255" s="18"/>
      <c r="N255" s="61"/>
      <c r="O255" s="33"/>
      <c r="P255" s="68"/>
      <c r="Q255" s="69"/>
      <c r="R255" s="19"/>
      <c r="S255" s="19"/>
      <c r="T255" s="19"/>
      <c r="U255" s="19"/>
      <c r="V255" s="19"/>
      <c r="X255" s="310" t="s">
        <v>42</v>
      </c>
      <c r="Y255" s="11" t="s">
        <v>64</v>
      </c>
      <c r="Z255" s="1" t="s">
        <v>48</v>
      </c>
      <c r="AA255" s="1">
        <v>12</v>
      </c>
      <c r="AB255" s="451" t="s">
        <v>791</v>
      </c>
      <c r="AC255" s="4">
        <v>800</v>
      </c>
      <c r="AD255" s="123">
        <f t="shared" si="66"/>
        <v>500</v>
      </c>
      <c r="AE255" s="123">
        <f t="shared" si="66"/>
        <v>500</v>
      </c>
      <c r="AF255" s="313">
        <f t="shared" si="67"/>
        <v>500</v>
      </c>
      <c r="AG255" s="478">
        <f t="shared" si="64"/>
        <v>1</v>
      </c>
      <c r="AH255" s="24"/>
      <c r="AI255" s="24"/>
      <c r="AJ255" s="115"/>
    </row>
    <row r="256" spans="1:36" s="80" customFormat="1" ht="31.5" x14ac:dyDescent="0.25">
      <c r="A256" s="17"/>
      <c r="B256" s="66"/>
      <c r="C256" s="67"/>
      <c r="D256" s="67"/>
      <c r="E256" s="14"/>
      <c r="F256" s="14"/>
      <c r="G256" s="19"/>
      <c r="I256" s="18"/>
      <c r="J256" s="18"/>
      <c r="K256" s="18"/>
      <c r="L256" s="61"/>
      <c r="M256" s="18"/>
      <c r="N256" s="61"/>
      <c r="O256" s="33"/>
      <c r="P256" s="68"/>
      <c r="Q256" s="69"/>
      <c r="R256" s="19"/>
      <c r="S256" s="19"/>
      <c r="T256" s="19"/>
      <c r="U256" s="19"/>
      <c r="V256" s="19"/>
      <c r="X256" s="310" t="s">
        <v>122</v>
      </c>
      <c r="Y256" s="11" t="s">
        <v>64</v>
      </c>
      <c r="Z256" s="1" t="s">
        <v>48</v>
      </c>
      <c r="AA256" s="1">
        <v>12</v>
      </c>
      <c r="AB256" s="451" t="s">
        <v>791</v>
      </c>
      <c r="AC256" s="4">
        <v>810</v>
      </c>
      <c r="AD256" s="123">
        <v>500</v>
      </c>
      <c r="AE256" s="123">
        <v>500</v>
      </c>
      <c r="AF256" s="313">
        <v>500</v>
      </c>
      <c r="AG256" s="478">
        <f t="shared" si="64"/>
        <v>1</v>
      </c>
      <c r="AH256" s="24"/>
      <c r="AI256" s="24"/>
      <c r="AJ256" s="115"/>
    </row>
    <row r="257" spans="1:36" s="65" customFormat="1" x14ac:dyDescent="0.25">
      <c r="A257" s="87"/>
      <c r="B257" s="57"/>
      <c r="C257" s="59"/>
      <c r="D257" s="59"/>
      <c r="E257" s="60"/>
      <c r="F257" s="59"/>
      <c r="G257" s="64"/>
      <c r="I257" s="88"/>
      <c r="J257" s="88"/>
      <c r="K257" s="88"/>
      <c r="L257" s="61"/>
      <c r="M257" s="88"/>
      <c r="N257" s="61"/>
      <c r="O257" s="89"/>
      <c r="P257" s="61"/>
      <c r="Q257" s="63"/>
      <c r="R257" s="64"/>
      <c r="S257" s="64"/>
      <c r="T257" s="64"/>
      <c r="U257" s="64"/>
      <c r="V257" s="64"/>
      <c r="X257" s="340" t="s">
        <v>3</v>
      </c>
      <c r="Y257" s="341" t="s">
        <v>64</v>
      </c>
      <c r="Z257" s="378" t="s">
        <v>5</v>
      </c>
      <c r="AA257" s="343"/>
      <c r="AB257" s="344"/>
      <c r="AC257" s="393"/>
      <c r="AD257" s="346">
        <f>AD258+AD283+AD271+AD277</f>
        <v>266323.10000000003</v>
      </c>
      <c r="AE257" s="346">
        <f>AE258+AE283+AE271+AE277</f>
        <v>266323.10000000003</v>
      </c>
      <c r="AF257" s="467">
        <f>AF258+AF283+AF271+AF277</f>
        <v>264611.5</v>
      </c>
      <c r="AG257" s="478">
        <f t="shared" si="64"/>
        <v>0.99357321989718494</v>
      </c>
      <c r="AH257" s="160"/>
      <c r="AI257" s="160"/>
      <c r="AJ257" s="115"/>
    </row>
    <row r="258" spans="1:36" s="65" customFormat="1" x14ac:dyDescent="0.25">
      <c r="A258" s="87"/>
      <c r="B258" s="57"/>
      <c r="C258" s="59"/>
      <c r="D258" s="59"/>
      <c r="E258" s="60"/>
      <c r="F258" s="59"/>
      <c r="G258" s="64"/>
      <c r="I258" s="88"/>
      <c r="J258" s="88"/>
      <c r="K258" s="88"/>
      <c r="L258" s="61"/>
      <c r="M258" s="88"/>
      <c r="N258" s="61"/>
      <c r="O258" s="89"/>
      <c r="P258" s="61"/>
      <c r="Q258" s="63"/>
      <c r="R258" s="64"/>
      <c r="S258" s="64"/>
      <c r="T258" s="64"/>
      <c r="U258" s="64"/>
      <c r="V258" s="64"/>
      <c r="X258" s="347" t="s">
        <v>70</v>
      </c>
      <c r="Y258" s="348" t="s">
        <v>64</v>
      </c>
      <c r="Z258" s="349" t="s">
        <v>5</v>
      </c>
      <c r="AA258" s="350" t="s">
        <v>29</v>
      </c>
      <c r="AB258" s="351"/>
      <c r="AC258" s="393"/>
      <c r="AD258" s="353">
        <f>AD259+AD265</f>
        <v>21821.7</v>
      </c>
      <c r="AE258" s="353">
        <f>AE259+AE265</f>
        <v>21821.7</v>
      </c>
      <c r="AF258" s="468">
        <f>AF259+AF265</f>
        <v>20571.8</v>
      </c>
      <c r="AG258" s="478">
        <f t="shared" si="64"/>
        <v>0.94272215271954063</v>
      </c>
      <c r="AH258" s="24"/>
      <c r="AI258" s="24"/>
      <c r="AJ258" s="115"/>
    </row>
    <row r="259" spans="1:36" s="65" customFormat="1" x14ac:dyDescent="0.25">
      <c r="A259" s="87"/>
      <c r="B259" s="57"/>
      <c r="C259" s="59"/>
      <c r="D259" s="59"/>
      <c r="E259" s="60"/>
      <c r="F259" s="59"/>
      <c r="G259" s="64"/>
      <c r="I259" s="88"/>
      <c r="J259" s="88"/>
      <c r="K259" s="88"/>
      <c r="L259" s="61"/>
      <c r="M259" s="88"/>
      <c r="N259" s="61"/>
      <c r="O259" s="89"/>
      <c r="P259" s="61"/>
      <c r="Q259" s="63"/>
      <c r="R259" s="64"/>
      <c r="S259" s="64"/>
      <c r="T259" s="64"/>
      <c r="U259" s="64"/>
      <c r="V259" s="64"/>
      <c r="X259" s="354" t="s">
        <v>187</v>
      </c>
      <c r="Y259" s="348" t="s">
        <v>64</v>
      </c>
      <c r="Z259" s="349" t="s">
        <v>5</v>
      </c>
      <c r="AA259" s="350" t="s">
        <v>29</v>
      </c>
      <c r="AB259" s="355" t="s">
        <v>113</v>
      </c>
      <c r="AC259" s="393"/>
      <c r="AD259" s="353">
        <f t="shared" ref="AD259:AF263" si="68">AD260</f>
        <v>19157.7</v>
      </c>
      <c r="AE259" s="353">
        <f t="shared" si="68"/>
        <v>19157.7</v>
      </c>
      <c r="AF259" s="468">
        <f t="shared" si="68"/>
        <v>19103.7</v>
      </c>
      <c r="AG259" s="478">
        <f t="shared" si="64"/>
        <v>0.99718129002959643</v>
      </c>
      <c r="AH259" s="24"/>
      <c r="AI259" s="24"/>
      <c r="AJ259" s="115"/>
    </row>
    <row r="260" spans="1:36" s="65" customFormat="1" x14ac:dyDescent="0.25">
      <c r="A260" s="87"/>
      <c r="B260" s="57"/>
      <c r="C260" s="59"/>
      <c r="D260" s="59"/>
      <c r="E260" s="60"/>
      <c r="F260" s="59"/>
      <c r="G260" s="64"/>
      <c r="I260" s="88"/>
      <c r="J260" s="88"/>
      <c r="K260" s="88"/>
      <c r="L260" s="61"/>
      <c r="M260" s="88"/>
      <c r="N260" s="61"/>
      <c r="O260" s="89"/>
      <c r="P260" s="61"/>
      <c r="Q260" s="63"/>
      <c r="R260" s="64"/>
      <c r="S260" s="64"/>
      <c r="T260" s="64"/>
      <c r="U260" s="64"/>
      <c r="V260" s="64"/>
      <c r="X260" s="369" t="s">
        <v>568</v>
      </c>
      <c r="Y260" s="348" t="s">
        <v>64</v>
      </c>
      <c r="Z260" s="349" t="s">
        <v>5</v>
      </c>
      <c r="AA260" s="350" t="s">
        <v>29</v>
      </c>
      <c r="AB260" s="355" t="s">
        <v>114</v>
      </c>
      <c r="AC260" s="393"/>
      <c r="AD260" s="353">
        <f t="shared" ref="AD260:AF261" si="69">AD261</f>
        <v>19157.7</v>
      </c>
      <c r="AE260" s="353">
        <f t="shared" si="69"/>
        <v>19157.7</v>
      </c>
      <c r="AF260" s="468">
        <f t="shared" si="69"/>
        <v>19103.7</v>
      </c>
      <c r="AG260" s="478">
        <f t="shared" si="64"/>
        <v>0.99718129002959643</v>
      </c>
      <c r="AH260" s="24"/>
      <c r="AI260" s="24"/>
      <c r="AJ260" s="115"/>
    </row>
    <row r="261" spans="1:36" s="65" customFormat="1" ht="31.5" x14ac:dyDescent="0.25">
      <c r="A261" s="87"/>
      <c r="B261" s="57"/>
      <c r="C261" s="59"/>
      <c r="D261" s="59"/>
      <c r="E261" s="60"/>
      <c r="F261" s="59"/>
      <c r="G261" s="64"/>
      <c r="I261" s="88"/>
      <c r="J261" s="88"/>
      <c r="K261" s="88"/>
      <c r="L261" s="61"/>
      <c r="M261" s="88"/>
      <c r="N261" s="61"/>
      <c r="O261" s="89"/>
      <c r="P261" s="61"/>
      <c r="Q261" s="63"/>
      <c r="R261" s="64"/>
      <c r="S261" s="64"/>
      <c r="T261" s="64"/>
      <c r="U261" s="64"/>
      <c r="V261" s="64"/>
      <c r="X261" s="368" t="s">
        <v>183</v>
      </c>
      <c r="Y261" s="348" t="s">
        <v>64</v>
      </c>
      <c r="Z261" s="349" t="s">
        <v>5</v>
      </c>
      <c r="AA261" s="350" t="s">
        <v>29</v>
      </c>
      <c r="AB261" s="355" t="s">
        <v>184</v>
      </c>
      <c r="AC261" s="393"/>
      <c r="AD261" s="353">
        <f t="shared" si="69"/>
        <v>19157.7</v>
      </c>
      <c r="AE261" s="353">
        <f t="shared" si="69"/>
        <v>19157.7</v>
      </c>
      <c r="AF261" s="468">
        <f t="shared" si="69"/>
        <v>19103.7</v>
      </c>
      <c r="AG261" s="478">
        <f t="shared" si="64"/>
        <v>0.99718129002959643</v>
      </c>
      <c r="AH261" s="24"/>
      <c r="AI261" s="24"/>
      <c r="AJ261" s="115"/>
    </row>
    <row r="262" spans="1:36" s="65" customFormat="1" ht="22.15" customHeight="1" x14ac:dyDescent="0.25">
      <c r="A262" s="109" t="s">
        <v>185</v>
      </c>
      <c r="B262" s="11" t="s">
        <v>60</v>
      </c>
      <c r="C262" s="1" t="s">
        <v>29</v>
      </c>
      <c r="D262" s="1">
        <v>13</v>
      </c>
      <c r="E262" s="107" t="s">
        <v>186</v>
      </c>
      <c r="F262" s="59"/>
      <c r="G262" s="64"/>
      <c r="I262" s="88"/>
      <c r="J262" s="88"/>
      <c r="K262" s="88"/>
      <c r="L262" s="61"/>
      <c r="M262" s="88"/>
      <c r="N262" s="61"/>
      <c r="O262" s="89"/>
      <c r="P262" s="61"/>
      <c r="Q262" s="63"/>
      <c r="R262" s="64"/>
      <c r="S262" s="64"/>
      <c r="T262" s="64"/>
      <c r="U262" s="64"/>
      <c r="V262" s="64"/>
      <c r="X262" s="368" t="s">
        <v>466</v>
      </c>
      <c r="Y262" s="348" t="s">
        <v>64</v>
      </c>
      <c r="Z262" s="349" t="s">
        <v>5</v>
      </c>
      <c r="AA262" s="350" t="s">
        <v>29</v>
      </c>
      <c r="AB262" s="355" t="s">
        <v>410</v>
      </c>
      <c r="AC262" s="393"/>
      <c r="AD262" s="353">
        <f t="shared" si="68"/>
        <v>19157.7</v>
      </c>
      <c r="AE262" s="353">
        <f t="shared" si="68"/>
        <v>19157.7</v>
      </c>
      <c r="AF262" s="468">
        <f t="shared" si="68"/>
        <v>19103.7</v>
      </c>
      <c r="AG262" s="478">
        <f t="shared" si="64"/>
        <v>0.99718129002959643</v>
      </c>
      <c r="AH262" s="24"/>
      <c r="AI262" s="24"/>
      <c r="AJ262" s="115"/>
    </row>
    <row r="263" spans="1:36" s="65" customFormat="1" x14ac:dyDescent="0.25">
      <c r="A263" s="87"/>
      <c r="B263" s="57"/>
      <c r="C263" s="59"/>
      <c r="D263" s="59"/>
      <c r="E263" s="60"/>
      <c r="F263" s="59"/>
      <c r="G263" s="64"/>
      <c r="I263" s="88"/>
      <c r="J263" s="88"/>
      <c r="K263" s="88"/>
      <c r="L263" s="61"/>
      <c r="M263" s="88"/>
      <c r="N263" s="61"/>
      <c r="O263" s="89"/>
      <c r="P263" s="61"/>
      <c r="Q263" s="63"/>
      <c r="R263" s="64"/>
      <c r="S263" s="64"/>
      <c r="T263" s="64"/>
      <c r="U263" s="64"/>
      <c r="V263" s="64"/>
      <c r="X263" s="347" t="s">
        <v>121</v>
      </c>
      <c r="Y263" s="348" t="s">
        <v>64</v>
      </c>
      <c r="Z263" s="349" t="s">
        <v>5</v>
      </c>
      <c r="AA263" s="350" t="s">
        <v>29</v>
      </c>
      <c r="AB263" s="355" t="s">
        <v>410</v>
      </c>
      <c r="AC263" s="394">
        <v>200</v>
      </c>
      <c r="AD263" s="353">
        <f t="shared" si="68"/>
        <v>19157.7</v>
      </c>
      <c r="AE263" s="353">
        <f t="shared" si="68"/>
        <v>19157.7</v>
      </c>
      <c r="AF263" s="468">
        <f t="shared" si="68"/>
        <v>19103.7</v>
      </c>
      <c r="AG263" s="478">
        <f t="shared" si="64"/>
        <v>0.99718129002959643</v>
      </c>
      <c r="AH263" s="24"/>
      <c r="AI263" s="24"/>
      <c r="AJ263" s="115"/>
    </row>
    <row r="264" spans="1:36" s="65" customFormat="1" ht="31.5" x14ac:dyDescent="0.25">
      <c r="A264" s="87"/>
      <c r="B264" s="57"/>
      <c r="C264" s="59"/>
      <c r="D264" s="59"/>
      <c r="E264" s="60"/>
      <c r="F264" s="59"/>
      <c r="G264" s="64"/>
      <c r="I264" s="88"/>
      <c r="J264" s="88"/>
      <c r="K264" s="88"/>
      <c r="L264" s="61"/>
      <c r="M264" s="88"/>
      <c r="N264" s="61"/>
      <c r="O264" s="89"/>
      <c r="P264" s="61"/>
      <c r="Q264" s="63"/>
      <c r="R264" s="64"/>
      <c r="S264" s="64"/>
      <c r="T264" s="64"/>
      <c r="U264" s="64"/>
      <c r="V264" s="64"/>
      <c r="X264" s="347" t="s">
        <v>52</v>
      </c>
      <c r="Y264" s="348" t="s">
        <v>64</v>
      </c>
      <c r="Z264" s="349" t="s">
        <v>5</v>
      </c>
      <c r="AA264" s="350" t="s">
        <v>29</v>
      </c>
      <c r="AB264" s="355" t="s">
        <v>410</v>
      </c>
      <c r="AC264" s="394">
        <v>240</v>
      </c>
      <c r="AD264" s="353">
        <f>9565+11192.5-501.8-748-350</f>
        <v>19157.7</v>
      </c>
      <c r="AE264" s="353">
        <f>9565+11192.5-501.8-748-350</f>
        <v>19157.7</v>
      </c>
      <c r="AF264" s="468">
        <v>19103.7</v>
      </c>
      <c r="AG264" s="478">
        <f t="shared" si="64"/>
        <v>0.99718129002959643</v>
      </c>
      <c r="AH264" s="24"/>
      <c r="AI264" s="24"/>
      <c r="AJ264" s="115"/>
    </row>
    <row r="265" spans="1:36" s="93" customFormat="1" x14ac:dyDescent="0.25">
      <c r="A265" s="90"/>
      <c r="B265" s="91"/>
      <c r="C265" s="92"/>
      <c r="D265" s="92"/>
      <c r="E265" s="92"/>
      <c r="F265" s="92"/>
      <c r="G265" s="92"/>
      <c r="I265" s="94"/>
      <c r="J265" s="94"/>
      <c r="K265" s="94"/>
      <c r="L265" s="94"/>
      <c r="M265" s="94"/>
      <c r="N265" s="94"/>
      <c r="O265" s="95"/>
      <c r="P265" s="96"/>
      <c r="R265" s="97"/>
      <c r="S265" s="98"/>
      <c r="X265" s="354" t="s">
        <v>249</v>
      </c>
      <c r="Y265" s="348" t="s">
        <v>64</v>
      </c>
      <c r="Z265" s="349" t="s">
        <v>5</v>
      </c>
      <c r="AA265" s="350" t="s">
        <v>29</v>
      </c>
      <c r="AB265" s="355" t="s">
        <v>250</v>
      </c>
      <c r="AC265" s="352"/>
      <c r="AD265" s="353">
        <f>AD266</f>
        <v>2664</v>
      </c>
      <c r="AE265" s="353">
        <f>AE266</f>
        <v>2664</v>
      </c>
      <c r="AF265" s="468">
        <f>AF266</f>
        <v>1468.1</v>
      </c>
      <c r="AG265" s="478">
        <f t="shared" si="64"/>
        <v>0.55108858858858856</v>
      </c>
      <c r="AH265" s="24"/>
      <c r="AI265" s="24"/>
      <c r="AJ265" s="115"/>
    </row>
    <row r="266" spans="1:36" s="93" customFormat="1" x14ac:dyDescent="0.25">
      <c r="A266" s="90"/>
      <c r="B266" s="91"/>
      <c r="C266" s="92"/>
      <c r="D266" s="92"/>
      <c r="E266" s="92"/>
      <c r="F266" s="92"/>
      <c r="G266" s="92"/>
      <c r="I266" s="94"/>
      <c r="J266" s="94"/>
      <c r="K266" s="94"/>
      <c r="L266" s="94"/>
      <c r="M266" s="94"/>
      <c r="N266" s="94"/>
      <c r="O266" s="95"/>
      <c r="P266" s="96"/>
      <c r="R266" s="97"/>
      <c r="S266" s="98"/>
      <c r="X266" s="368" t="s">
        <v>658</v>
      </c>
      <c r="Y266" s="348" t="s">
        <v>64</v>
      </c>
      <c r="Z266" s="349" t="s">
        <v>5</v>
      </c>
      <c r="AA266" s="350" t="s">
        <v>29</v>
      </c>
      <c r="AB266" s="355" t="s">
        <v>671</v>
      </c>
      <c r="AC266" s="372"/>
      <c r="AD266" s="353">
        <f>AD269</f>
        <v>2664</v>
      </c>
      <c r="AE266" s="353">
        <f>AE269+AE267</f>
        <v>2664</v>
      </c>
      <c r="AF266" s="353">
        <f>AF269+AF267</f>
        <v>1468.1</v>
      </c>
      <c r="AG266" s="478">
        <f t="shared" si="64"/>
        <v>0.55108858858858856</v>
      </c>
      <c r="AH266" s="24"/>
      <c r="AI266" s="24"/>
      <c r="AJ266" s="115"/>
    </row>
    <row r="267" spans="1:36" s="93" customFormat="1" ht="31.5" x14ac:dyDescent="0.25">
      <c r="A267" s="90"/>
      <c r="B267" s="91"/>
      <c r="C267" s="92"/>
      <c r="D267" s="92"/>
      <c r="E267" s="92"/>
      <c r="F267" s="92"/>
      <c r="G267" s="92"/>
      <c r="I267" s="94"/>
      <c r="J267" s="94"/>
      <c r="K267" s="94"/>
      <c r="L267" s="94"/>
      <c r="M267" s="94"/>
      <c r="N267" s="94"/>
      <c r="O267" s="95"/>
      <c r="P267" s="96"/>
      <c r="R267" s="97"/>
      <c r="S267" s="98"/>
      <c r="X267" s="358" t="s">
        <v>61</v>
      </c>
      <c r="Y267" s="348" t="s">
        <v>64</v>
      </c>
      <c r="Z267" s="349" t="s">
        <v>5</v>
      </c>
      <c r="AA267" s="350" t="s">
        <v>29</v>
      </c>
      <c r="AB267" s="355" t="s">
        <v>671</v>
      </c>
      <c r="AC267" s="372" t="s">
        <v>411</v>
      </c>
      <c r="AD267" s="353">
        <v>0</v>
      </c>
      <c r="AE267" s="353">
        <f>AE268</f>
        <v>765.2</v>
      </c>
      <c r="AF267" s="353">
        <f>AF268</f>
        <v>765.2</v>
      </c>
      <c r="AG267" s="478">
        <f t="shared" si="64"/>
        <v>1</v>
      </c>
      <c r="AH267" s="24"/>
      <c r="AI267" s="24"/>
      <c r="AJ267" s="115"/>
    </row>
    <row r="268" spans="1:36" s="93" customFormat="1" x14ac:dyDescent="0.25">
      <c r="A268" s="90"/>
      <c r="B268" s="91"/>
      <c r="C268" s="92"/>
      <c r="D268" s="92"/>
      <c r="E268" s="92"/>
      <c r="F268" s="92"/>
      <c r="G268" s="92"/>
      <c r="I268" s="94"/>
      <c r="J268" s="94"/>
      <c r="K268" s="94"/>
      <c r="L268" s="94"/>
      <c r="M268" s="94"/>
      <c r="N268" s="94"/>
      <c r="O268" s="95"/>
      <c r="P268" s="96"/>
      <c r="R268" s="97"/>
      <c r="S268" s="98"/>
      <c r="X268" s="358" t="s">
        <v>62</v>
      </c>
      <c r="Y268" s="348" t="s">
        <v>64</v>
      </c>
      <c r="Z268" s="349" t="s">
        <v>5</v>
      </c>
      <c r="AA268" s="350" t="s">
        <v>29</v>
      </c>
      <c r="AB268" s="355" t="s">
        <v>671</v>
      </c>
      <c r="AC268" s="372" t="s">
        <v>412</v>
      </c>
      <c r="AD268" s="353">
        <v>0</v>
      </c>
      <c r="AE268" s="353">
        <v>765.2</v>
      </c>
      <c r="AF268" s="468">
        <v>765.2</v>
      </c>
      <c r="AG268" s="478">
        <f t="shared" si="64"/>
        <v>1</v>
      </c>
      <c r="AH268" s="24"/>
      <c r="AI268" s="24"/>
      <c r="AJ268" s="115"/>
    </row>
    <row r="269" spans="1:36" s="93" customFormat="1" x14ac:dyDescent="0.25">
      <c r="A269" s="90"/>
      <c r="B269" s="91"/>
      <c r="C269" s="92"/>
      <c r="D269" s="92"/>
      <c r="E269" s="92"/>
      <c r="F269" s="92"/>
      <c r="G269" s="92"/>
      <c r="I269" s="94"/>
      <c r="J269" s="94"/>
      <c r="K269" s="94"/>
      <c r="L269" s="94"/>
      <c r="M269" s="94"/>
      <c r="N269" s="94"/>
      <c r="O269" s="95"/>
      <c r="P269" s="96"/>
      <c r="R269" s="97"/>
      <c r="S269" s="98"/>
      <c r="X269" s="347" t="s">
        <v>42</v>
      </c>
      <c r="Y269" s="348" t="s">
        <v>64</v>
      </c>
      <c r="Z269" s="349" t="s">
        <v>5</v>
      </c>
      <c r="AA269" s="350" t="s">
        <v>29</v>
      </c>
      <c r="AB269" s="355" t="s">
        <v>671</v>
      </c>
      <c r="AC269" s="372" t="s">
        <v>363</v>
      </c>
      <c r="AD269" s="353">
        <f t="shared" ref="AD269:AF269" si="70">AD270</f>
        <v>2664</v>
      </c>
      <c r="AE269" s="353">
        <f t="shared" si="70"/>
        <v>1898.8</v>
      </c>
      <c r="AF269" s="468">
        <f t="shared" si="70"/>
        <v>702.9</v>
      </c>
      <c r="AG269" s="478">
        <f t="shared" si="64"/>
        <v>0.37018116705287551</v>
      </c>
      <c r="AH269" s="24"/>
      <c r="AI269" s="24"/>
      <c r="AJ269" s="115"/>
    </row>
    <row r="270" spans="1:36" s="93" customFormat="1" ht="31.5" x14ac:dyDescent="0.25">
      <c r="A270" s="90"/>
      <c r="B270" s="91"/>
      <c r="C270" s="92"/>
      <c r="D270" s="92"/>
      <c r="E270" s="92"/>
      <c r="F270" s="92"/>
      <c r="G270" s="92"/>
      <c r="I270" s="94"/>
      <c r="J270" s="94"/>
      <c r="K270" s="94"/>
      <c r="L270" s="94"/>
      <c r="M270" s="94"/>
      <c r="N270" s="94"/>
      <c r="O270" s="95"/>
      <c r="P270" s="96"/>
      <c r="R270" s="97"/>
      <c r="S270" s="98"/>
      <c r="X270" s="347" t="s">
        <v>122</v>
      </c>
      <c r="Y270" s="348" t="s">
        <v>64</v>
      </c>
      <c r="Z270" s="349" t="s">
        <v>5</v>
      </c>
      <c r="AA270" s="350" t="s">
        <v>29</v>
      </c>
      <c r="AB270" s="355" t="s">
        <v>671</v>
      </c>
      <c r="AC270" s="372" t="s">
        <v>364</v>
      </c>
      <c r="AD270" s="353">
        <f>2664</f>
        <v>2664</v>
      </c>
      <c r="AE270" s="353">
        <f>2664-765.2</f>
        <v>1898.8</v>
      </c>
      <c r="AF270" s="468">
        <v>702.9</v>
      </c>
      <c r="AG270" s="478">
        <f t="shared" si="64"/>
        <v>0.37018116705287551</v>
      </c>
      <c r="AH270" s="24"/>
      <c r="AI270" s="24"/>
      <c r="AJ270" s="115"/>
    </row>
    <row r="271" spans="1:36" s="93" customFormat="1" hidden="1" x14ac:dyDescent="0.25">
      <c r="A271" s="90"/>
      <c r="B271" s="91"/>
      <c r="C271" s="92"/>
      <c r="D271" s="92"/>
      <c r="E271" s="92"/>
      <c r="F271" s="92"/>
      <c r="G271" s="92"/>
      <c r="I271" s="94"/>
      <c r="J271" s="94"/>
      <c r="K271" s="94"/>
      <c r="L271" s="94"/>
      <c r="M271" s="94"/>
      <c r="N271" s="94"/>
      <c r="O271" s="95"/>
      <c r="P271" s="96"/>
      <c r="R271" s="97"/>
      <c r="S271" s="98"/>
      <c r="X271" s="347" t="s">
        <v>335</v>
      </c>
      <c r="Y271" s="348" t="s">
        <v>64</v>
      </c>
      <c r="Z271" s="349" t="s">
        <v>5</v>
      </c>
      <c r="AA271" s="350" t="s">
        <v>30</v>
      </c>
      <c r="AB271" s="355"/>
      <c r="AC271" s="372"/>
      <c r="AD271" s="353">
        <f t="shared" ref="AD271:AE275" si="71">AD272</f>
        <v>0</v>
      </c>
      <c r="AE271" s="353">
        <f t="shared" si="71"/>
        <v>0</v>
      </c>
      <c r="AF271" s="468">
        <f t="shared" ref="AF271" si="72">AF272</f>
        <v>0</v>
      </c>
      <c r="AG271" s="478" t="e">
        <f t="shared" si="64"/>
        <v>#DIV/0!</v>
      </c>
      <c r="AH271" s="24"/>
      <c r="AI271" s="24"/>
      <c r="AJ271" s="115"/>
    </row>
    <row r="272" spans="1:36" s="93" customFormat="1" hidden="1" x14ac:dyDescent="0.25">
      <c r="A272" s="90"/>
      <c r="B272" s="91"/>
      <c r="C272" s="92"/>
      <c r="D272" s="92"/>
      <c r="E272" s="92"/>
      <c r="F272" s="92"/>
      <c r="G272" s="92"/>
      <c r="I272" s="94"/>
      <c r="J272" s="94"/>
      <c r="K272" s="94"/>
      <c r="L272" s="94"/>
      <c r="M272" s="94"/>
      <c r="N272" s="94"/>
      <c r="O272" s="95"/>
      <c r="P272" s="96"/>
      <c r="R272" s="97"/>
      <c r="S272" s="98"/>
      <c r="X272" s="354" t="s">
        <v>227</v>
      </c>
      <c r="Y272" s="348" t="s">
        <v>64</v>
      </c>
      <c r="Z272" s="349" t="s">
        <v>5</v>
      </c>
      <c r="AA272" s="350" t="s">
        <v>30</v>
      </c>
      <c r="AB272" s="355" t="s">
        <v>138</v>
      </c>
      <c r="AC272" s="372"/>
      <c r="AD272" s="353">
        <f t="shared" si="71"/>
        <v>0</v>
      </c>
      <c r="AE272" s="353">
        <f t="shared" si="71"/>
        <v>0</v>
      </c>
      <c r="AF272" s="468">
        <f t="shared" ref="AF272" si="73">AF273</f>
        <v>0</v>
      </c>
      <c r="AG272" s="478" t="e">
        <f t="shared" si="64"/>
        <v>#DIV/0!</v>
      </c>
      <c r="AH272" s="24"/>
      <c r="AI272" s="24"/>
      <c r="AJ272" s="115"/>
    </row>
    <row r="273" spans="1:36" s="93" customFormat="1" hidden="1" x14ac:dyDescent="0.25">
      <c r="A273" s="90"/>
      <c r="B273" s="91"/>
      <c r="C273" s="92"/>
      <c r="D273" s="92"/>
      <c r="E273" s="92"/>
      <c r="F273" s="92"/>
      <c r="G273" s="92"/>
      <c r="I273" s="94"/>
      <c r="J273" s="94"/>
      <c r="K273" s="94"/>
      <c r="L273" s="94"/>
      <c r="M273" s="94"/>
      <c r="N273" s="94"/>
      <c r="O273" s="95"/>
      <c r="P273" s="96"/>
      <c r="R273" s="97"/>
      <c r="S273" s="98"/>
      <c r="X273" s="347" t="s">
        <v>453</v>
      </c>
      <c r="Y273" s="348" t="s">
        <v>64</v>
      </c>
      <c r="Z273" s="349" t="s">
        <v>5</v>
      </c>
      <c r="AA273" s="350" t="s">
        <v>30</v>
      </c>
      <c r="AB273" s="377" t="s">
        <v>454</v>
      </c>
      <c r="AC273" s="372"/>
      <c r="AD273" s="353">
        <f t="shared" si="71"/>
        <v>0</v>
      </c>
      <c r="AE273" s="353">
        <f t="shared" si="71"/>
        <v>0</v>
      </c>
      <c r="AF273" s="468">
        <f t="shared" ref="AF273" si="74">AF274</f>
        <v>0</v>
      </c>
      <c r="AG273" s="478" t="e">
        <f t="shared" si="64"/>
        <v>#DIV/0!</v>
      </c>
      <c r="AH273" s="24"/>
      <c r="AI273" s="24"/>
      <c r="AJ273" s="115"/>
    </row>
    <row r="274" spans="1:36" s="93" customFormat="1" ht="36" hidden="1" customHeight="1" x14ac:dyDescent="0.25">
      <c r="A274" s="90"/>
      <c r="B274" s="91"/>
      <c r="C274" s="92"/>
      <c r="D274" s="92"/>
      <c r="E274" s="92"/>
      <c r="F274" s="92"/>
      <c r="G274" s="92"/>
      <c r="I274" s="94"/>
      <c r="J274" s="94"/>
      <c r="K274" s="94"/>
      <c r="L274" s="94"/>
      <c r="M274" s="94"/>
      <c r="N274" s="94"/>
      <c r="O274" s="95"/>
      <c r="P274" s="96"/>
      <c r="R274" s="97"/>
      <c r="S274" s="98"/>
      <c r="X274" s="347" t="s">
        <v>755</v>
      </c>
      <c r="Y274" s="348" t="s">
        <v>64</v>
      </c>
      <c r="Z274" s="349" t="s">
        <v>5</v>
      </c>
      <c r="AA274" s="350" t="s">
        <v>30</v>
      </c>
      <c r="AB274" s="377" t="s">
        <v>754</v>
      </c>
      <c r="AC274" s="372"/>
      <c r="AD274" s="353">
        <f t="shared" si="71"/>
        <v>0</v>
      </c>
      <c r="AE274" s="353">
        <f t="shared" si="71"/>
        <v>0</v>
      </c>
      <c r="AF274" s="468">
        <f t="shared" ref="AF274" si="75">AF275</f>
        <v>0</v>
      </c>
      <c r="AG274" s="478" t="e">
        <f t="shared" si="64"/>
        <v>#DIV/0!</v>
      </c>
      <c r="AH274" s="24"/>
      <c r="AI274" s="24"/>
      <c r="AJ274" s="115"/>
    </row>
    <row r="275" spans="1:36" s="93" customFormat="1" hidden="1" x14ac:dyDescent="0.25">
      <c r="A275" s="90"/>
      <c r="B275" s="91"/>
      <c r="C275" s="92"/>
      <c r="D275" s="92"/>
      <c r="E275" s="92"/>
      <c r="F275" s="92"/>
      <c r="G275" s="92"/>
      <c r="I275" s="94"/>
      <c r="J275" s="94"/>
      <c r="K275" s="94"/>
      <c r="L275" s="94"/>
      <c r="M275" s="94"/>
      <c r="N275" s="94"/>
      <c r="O275" s="95"/>
      <c r="P275" s="96"/>
      <c r="R275" s="97"/>
      <c r="S275" s="98"/>
      <c r="X275" s="347" t="s">
        <v>42</v>
      </c>
      <c r="Y275" s="348" t="s">
        <v>64</v>
      </c>
      <c r="Z275" s="349" t="s">
        <v>5</v>
      </c>
      <c r="AA275" s="350" t="s">
        <v>30</v>
      </c>
      <c r="AB275" s="377" t="s">
        <v>754</v>
      </c>
      <c r="AC275" s="372" t="s">
        <v>363</v>
      </c>
      <c r="AD275" s="353">
        <f t="shared" si="71"/>
        <v>0</v>
      </c>
      <c r="AE275" s="353">
        <f t="shared" si="71"/>
        <v>0</v>
      </c>
      <c r="AF275" s="468">
        <f t="shared" ref="AF275" si="76">AF276</f>
        <v>0</v>
      </c>
      <c r="AG275" s="478" t="e">
        <f t="shared" si="64"/>
        <v>#DIV/0!</v>
      </c>
      <c r="AH275" s="24"/>
      <c r="AI275" s="24"/>
      <c r="AJ275" s="115"/>
    </row>
    <row r="276" spans="1:36" s="93" customFormat="1" ht="31.5" hidden="1" x14ac:dyDescent="0.25">
      <c r="A276" s="90"/>
      <c r="B276" s="91"/>
      <c r="C276" s="92"/>
      <c r="D276" s="92"/>
      <c r="E276" s="92"/>
      <c r="F276" s="92"/>
      <c r="G276" s="92"/>
      <c r="I276" s="94"/>
      <c r="J276" s="94"/>
      <c r="K276" s="94"/>
      <c r="L276" s="94"/>
      <c r="M276" s="94"/>
      <c r="N276" s="94"/>
      <c r="O276" s="95"/>
      <c r="P276" s="96"/>
      <c r="R276" s="97"/>
      <c r="S276" s="98"/>
      <c r="X276" s="347" t="s">
        <v>122</v>
      </c>
      <c r="Y276" s="348" t="s">
        <v>64</v>
      </c>
      <c r="Z276" s="349" t="s">
        <v>5</v>
      </c>
      <c r="AA276" s="350" t="s">
        <v>30</v>
      </c>
      <c r="AB276" s="377" t="s">
        <v>754</v>
      </c>
      <c r="AC276" s="372" t="s">
        <v>364</v>
      </c>
      <c r="AD276" s="353">
        <v>0</v>
      </c>
      <c r="AE276" s="353">
        <v>0</v>
      </c>
      <c r="AF276" s="468">
        <v>0</v>
      </c>
      <c r="AG276" s="478" t="e">
        <f t="shared" si="64"/>
        <v>#DIV/0!</v>
      </c>
      <c r="AH276" s="24"/>
      <c r="AI276" s="24"/>
      <c r="AJ276" s="115"/>
    </row>
    <row r="277" spans="1:36" s="93" customFormat="1" x14ac:dyDescent="0.25">
      <c r="A277" s="90"/>
      <c r="B277" s="91"/>
      <c r="C277" s="92"/>
      <c r="D277" s="92"/>
      <c r="E277" s="92"/>
      <c r="F277" s="92"/>
      <c r="G277" s="92"/>
      <c r="I277" s="94"/>
      <c r="J277" s="94"/>
      <c r="K277" s="94"/>
      <c r="L277" s="94"/>
      <c r="M277" s="94"/>
      <c r="N277" s="94"/>
      <c r="O277" s="95"/>
      <c r="P277" s="96"/>
      <c r="R277" s="97"/>
      <c r="S277" s="98"/>
      <c r="X277" s="347" t="s">
        <v>335</v>
      </c>
      <c r="Y277" s="348" t="s">
        <v>64</v>
      </c>
      <c r="Z277" s="349" t="s">
        <v>5</v>
      </c>
      <c r="AA277" s="350" t="s">
        <v>30</v>
      </c>
      <c r="AB277" s="377"/>
      <c r="AC277" s="372"/>
      <c r="AD277" s="353">
        <f t="shared" ref="AD277:AE281" si="77">AD278</f>
        <v>60500</v>
      </c>
      <c r="AE277" s="353">
        <f t="shared" si="77"/>
        <v>60500</v>
      </c>
      <c r="AF277" s="468">
        <f t="shared" ref="AF277" si="78">AF278</f>
        <v>60500</v>
      </c>
      <c r="AG277" s="478">
        <f t="shared" si="64"/>
        <v>1</v>
      </c>
      <c r="AH277" s="24"/>
      <c r="AI277" s="24"/>
      <c r="AJ277" s="115"/>
    </row>
    <row r="278" spans="1:3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R278" s="3"/>
      <c r="S278" s="3"/>
      <c r="X278" s="202" t="s">
        <v>227</v>
      </c>
      <c r="Y278" s="348" t="s">
        <v>64</v>
      </c>
      <c r="Z278" s="1" t="s">
        <v>5</v>
      </c>
      <c r="AA278" s="4" t="s">
        <v>30</v>
      </c>
      <c r="AB278" s="226" t="s">
        <v>138</v>
      </c>
      <c r="AC278" s="315"/>
      <c r="AD278" s="353">
        <f t="shared" si="77"/>
        <v>60500</v>
      </c>
      <c r="AE278" s="353">
        <f t="shared" si="77"/>
        <v>60500</v>
      </c>
      <c r="AF278" s="468">
        <f t="shared" ref="AF278:AF281" si="79">AF279</f>
        <v>60500</v>
      </c>
      <c r="AG278" s="478">
        <f t="shared" si="64"/>
        <v>1</v>
      </c>
      <c r="AH278" s="3"/>
      <c r="AI278" s="3"/>
    </row>
    <row r="279" spans="1:36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R279" s="3"/>
      <c r="S279" s="3"/>
      <c r="X279" s="197" t="s">
        <v>453</v>
      </c>
      <c r="Y279" s="348" t="s">
        <v>64</v>
      </c>
      <c r="Z279" s="1" t="s">
        <v>5</v>
      </c>
      <c r="AA279" s="4" t="s">
        <v>30</v>
      </c>
      <c r="AB279" s="287" t="s">
        <v>454</v>
      </c>
      <c r="AC279" s="315"/>
      <c r="AD279" s="353">
        <f t="shared" si="77"/>
        <v>60500</v>
      </c>
      <c r="AE279" s="353">
        <f t="shared" si="77"/>
        <v>60500</v>
      </c>
      <c r="AF279" s="468">
        <f t="shared" si="79"/>
        <v>60500</v>
      </c>
      <c r="AG279" s="478">
        <f t="shared" si="64"/>
        <v>1</v>
      </c>
      <c r="AH279" s="3"/>
      <c r="AI279" s="3"/>
    </row>
    <row r="280" spans="1:36" ht="31.5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R280" s="3"/>
      <c r="S280" s="3"/>
      <c r="X280" s="197" t="s">
        <v>755</v>
      </c>
      <c r="Y280" s="348" t="s">
        <v>64</v>
      </c>
      <c r="Z280" s="1" t="s">
        <v>5</v>
      </c>
      <c r="AA280" s="4" t="s">
        <v>30</v>
      </c>
      <c r="AB280" s="287" t="s">
        <v>754</v>
      </c>
      <c r="AC280" s="315"/>
      <c r="AD280" s="353">
        <f t="shared" si="77"/>
        <v>60500</v>
      </c>
      <c r="AE280" s="353">
        <f t="shared" si="77"/>
        <v>60500</v>
      </c>
      <c r="AF280" s="468">
        <f t="shared" si="79"/>
        <v>60500</v>
      </c>
      <c r="AG280" s="478">
        <f t="shared" si="64"/>
        <v>1</v>
      </c>
      <c r="AH280" s="3"/>
      <c r="AI280" s="3"/>
    </row>
    <row r="281" spans="1:36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R281" s="3"/>
      <c r="S281" s="3"/>
      <c r="X281" s="197" t="s">
        <v>42</v>
      </c>
      <c r="Y281" s="348" t="s">
        <v>64</v>
      </c>
      <c r="Z281" s="1" t="s">
        <v>5</v>
      </c>
      <c r="AA281" s="4" t="s">
        <v>30</v>
      </c>
      <c r="AB281" s="287" t="s">
        <v>754</v>
      </c>
      <c r="AC281" s="315" t="s">
        <v>363</v>
      </c>
      <c r="AD281" s="353">
        <f t="shared" si="77"/>
        <v>60500</v>
      </c>
      <c r="AE281" s="353">
        <f t="shared" si="77"/>
        <v>60500</v>
      </c>
      <c r="AF281" s="468">
        <f t="shared" si="79"/>
        <v>60500</v>
      </c>
      <c r="AG281" s="478">
        <f t="shared" si="64"/>
        <v>1</v>
      </c>
      <c r="AH281" s="3"/>
      <c r="AI281" s="3"/>
    </row>
    <row r="282" spans="1:36" ht="31.5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R282" s="3"/>
      <c r="S282" s="3"/>
      <c r="X282" s="197" t="s">
        <v>122</v>
      </c>
      <c r="Y282" s="348" t="s">
        <v>64</v>
      </c>
      <c r="Z282" s="1" t="s">
        <v>5</v>
      </c>
      <c r="AA282" s="4" t="s">
        <v>30</v>
      </c>
      <c r="AB282" s="287" t="s">
        <v>754</v>
      </c>
      <c r="AC282" s="315" t="s">
        <v>364</v>
      </c>
      <c r="AD282" s="353">
        <v>60500</v>
      </c>
      <c r="AE282" s="353">
        <v>60500</v>
      </c>
      <c r="AF282" s="468">
        <v>60500</v>
      </c>
      <c r="AG282" s="478">
        <f t="shared" si="64"/>
        <v>1</v>
      </c>
      <c r="AH282" s="3"/>
      <c r="AI282" s="3"/>
    </row>
    <row r="283" spans="1:36" s="65" customFormat="1" x14ac:dyDescent="0.25">
      <c r="A283" s="87"/>
      <c r="B283" s="57"/>
      <c r="C283" s="59"/>
      <c r="D283" s="59"/>
      <c r="E283" s="60"/>
      <c r="F283" s="59"/>
      <c r="G283" s="64"/>
      <c r="I283" s="88"/>
      <c r="J283" s="88"/>
      <c r="K283" s="88"/>
      <c r="L283" s="61"/>
      <c r="M283" s="88"/>
      <c r="N283" s="61"/>
      <c r="O283" s="89"/>
      <c r="P283" s="61"/>
      <c r="Q283" s="63"/>
      <c r="R283" s="64"/>
      <c r="S283" s="64"/>
      <c r="T283" s="64"/>
      <c r="U283" s="64"/>
      <c r="V283" s="64"/>
      <c r="X283" s="347" t="s">
        <v>18</v>
      </c>
      <c r="Y283" s="348" t="s">
        <v>64</v>
      </c>
      <c r="Z283" s="349" t="s">
        <v>5</v>
      </c>
      <c r="AA283" s="350" t="s">
        <v>7</v>
      </c>
      <c r="AB283" s="367"/>
      <c r="AC283" s="372"/>
      <c r="AD283" s="353">
        <f>AD297+AD284+AD303</f>
        <v>184001.40000000002</v>
      </c>
      <c r="AE283" s="353">
        <f t="shared" ref="AE283:AF283" si="80">AE297+AE284+AE303</f>
        <v>184001.40000000002</v>
      </c>
      <c r="AF283" s="353">
        <f t="shared" si="80"/>
        <v>183539.7</v>
      </c>
      <c r="AG283" s="478">
        <f t="shared" si="64"/>
        <v>0.99749077996145674</v>
      </c>
      <c r="AH283" s="24"/>
      <c r="AI283" s="24"/>
      <c r="AJ283" s="115"/>
    </row>
    <row r="284" spans="1:36" s="65" customFormat="1" ht="31.5" x14ac:dyDescent="0.25">
      <c r="A284" s="87"/>
      <c r="B284" s="57"/>
      <c r="C284" s="59"/>
      <c r="D284" s="59"/>
      <c r="E284" s="60"/>
      <c r="F284" s="59"/>
      <c r="G284" s="64"/>
      <c r="I284" s="88"/>
      <c r="J284" s="88"/>
      <c r="K284" s="88"/>
      <c r="L284" s="61"/>
      <c r="M284" s="88"/>
      <c r="N284" s="61"/>
      <c r="O284" s="89"/>
      <c r="P284" s="61"/>
      <c r="Q284" s="63"/>
      <c r="R284" s="64"/>
      <c r="S284" s="64"/>
      <c r="T284" s="64"/>
      <c r="U284" s="64"/>
      <c r="V284" s="64"/>
      <c r="X284" s="356" t="s">
        <v>163</v>
      </c>
      <c r="Y284" s="348" t="s">
        <v>64</v>
      </c>
      <c r="Z284" s="349" t="s">
        <v>5</v>
      </c>
      <c r="AA284" s="350" t="s">
        <v>7</v>
      </c>
      <c r="AB284" s="351" t="s">
        <v>103</v>
      </c>
      <c r="AC284" s="372"/>
      <c r="AD284" s="353">
        <f t="shared" ref="AD284:AF285" si="81">AD285</f>
        <v>18265.200000000004</v>
      </c>
      <c r="AE284" s="353">
        <f t="shared" si="81"/>
        <v>18265.200000000004</v>
      </c>
      <c r="AF284" s="468">
        <f t="shared" si="81"/>
        <v>17918.5</v>
      </c>
      <c r="AG284" s="478">
        <f t="shared" si="64"/>
        <v>0.98101854893458573</v>
      </c>
      <c r="AH284" s="24"/>
      <c r="AI284" s="24"/>
      <c r="AJ284" s="115"/>
    </row>
    <row r="285" spans="1:36" s="65" customFormat="1" x14ac:dyDescent="0.25">
      <c r="A285" s="87"/>
      <c r="B285" s="57"/>
      <c r="C285" s="59"/>
      <c r="D285" s="59"/>
      <c r="E285" s="60"/>
      <c r="F285" s="59"/>
      <c r="G285" s="64"/>
      <c r="I285" s="88"/>
      <c r="J285" s="88"/>
      <c r="K285" s="88"/>
      <c r="L285" s="61"/>
      <c r="M285" s="88"/>
      <c r="N285" s="61"/>
      <c r="O285" s="89"/>
      <c r="P285" s="61"/>
      <c r="Q285" s="63"/>
      <c r="R285" s="64"/>
      <c r="S285" s="64"/>
      <c r="T285" s="64"/>
      <c r="U285" s="64"/>
      <c r="V285" s="64"/>
      <c r="X285" s="354" t="s">
        <v>164</v>
      </c>
      <c r="Y285" s="348" t="s">
        <v>64</v>
      </c>
      <c r="Z285" s="349" t="s">
        <v>5</v>
      </c>
      <c r="AA285" s="350" t="s">
        <v>7</v>
      </c>
      <c r="AB285" s="351" t="s">
        <v>107</v>
      </c>
      <c r="AC285" s="372"/>
      <c r="AD285" s="353">
        <f t="shared" si="81"/>
        <v>18265.200000000004</v>
      </c>
      <c r="AE285" s="353">
        <f t="shared" si="81"/>
        <v>18265.200000000004</v>
      </c>
      <c r="AF285" s="468">
        <f t="shared" si="81"/>
        <v>17918.5</v>
      </c>
      <c r="AG285" s="478">
        <f t="shared" si="64"/>
        <v>0.98101854893458573</v>
      </c>
      <c r="AH285" s="24"/>
      <c r="AI285" s="24"/>
      <c r="AJ285" s="115"/>
    </row>
    <row r="286" spans="1:36" s="65" customFormat="1" x14ac:dyDescent="0.25">
      <c r="A286" s="87"/>
      <c r="B286" s="57"/>
      <c r="C286" s="59"/>
      <c r="D286" s="59"/>
      <c r="E286" s="60"/>
      <c r="F286" s="59"/>
      <c r="G286" s="64"/>
      <c r="I286" s="88"/>
      <c r="J286" s="88"/>
      <c r="K286" s="88"/>
      <c r="L286" s="61"/>
      <c r="M286" s="88"/>
      <c r="N286" s="61"/>
      <c r="O286" s="89"/>
      <c r="P286" s="61"/>
      <c r="Q286" s="63"/>
      <c r="R286" s="64"/>
      <c r="S286" s="64"/>
      <c r="T286" s="64"/>
      <c r="U286" s="64"/>
      <c r="V286" s="64"/>
      <c r="X286" s="365" t="s">
        <v>566</v>
      </c>
      <c r="Y286" s="348" t="s">
        <v>64</v>
      </c>
      <c r="Z286" s="349" t="s">
        <v>5</v>
      </c>
      <c r="AA286" s="350" t="s">
        <v>7</v>
      </c>
      <c r="AB286" s="351" t="s">
        <v>348</v>
      </c>
      <c r="AC286" s="372"/>
      <c r="AD286" s="353">
        <f>AD287+AD290</f>
        <v>18265.200000000004</v>
      </c>
      <c r="AE286" s="353">
        <f>AE287+AE290</f>
        <v>18265.200000000004</v>
      </c>
      <c r="AF286" s="468">
        <f>AF287+AF290</f>
        <v>17918.5</v>
      </c>
      <c r="AG286" s="478">
        <f t="shared" si="64"/>
        <v>0.98101854893458573</v>
      </c>
      <c r="AH286" s="24"/>
      <c r="AI286" s="24"/>
      <c r="AJ286" s="115"/>
    </row>
    <row r="287" spans="1:36" s="65" customFormat="1" x14ac:dyDescent="0.25">
      <c r="A287" s="87"/>
      <c r="B287" s="57"/>
      <c r="C287" s="59"/>
      <c r="D287" s="59"/>
      <c r="E287" s="60"/>
      <c r="F287" s="59"/>
      <c r="G287" s="64"/>
      <c r="I287" s="88"/>
      <c r="J287" s="88"/>
      <c r="K287" s="88"/>
      <c r="L287" s="61"/>
      <c r="M287" s="88"/>
      <c r="N287" s="61"/>
      <c r="O287" s="89"/>
      <c r="P287" s="61"/>
      <c r="Q287" s="63"/>
      <c r="R287" s="64"/>
      <c r="S287" s="64"/>
      <c r="T287" s="64"/>
      <c r="U287" s="64"/>
      <c r="V287" s="64"/>
      <c r="X287" s="368" t="s">
        <v>255</v>
      </c>
      <c r="Y287" s="348" t="s">
        <v>64</v>
      </c>
      <c r="Z287" s="349" t="s">
        <v>5</v>
      </c>
      <c r="AA287" s="350" t="s">
        <v>7</v>
      </c>
      <c r="AB287" s="351" t="s">
        <v>374</v>
      </c>
      <c r="AC287" s="372"/>
      <c r="AD287" s="353">
        <f t="shared" ref="AD287:AF288" si="82">AD288</f>
        <v>9806.4000000000015</v>
      </c>
      <c r="AE287" s="353">
        <f t="shared" si="82"/>
        <v>9806.4000000000015</v>
      </c>
      <c r="AF287" s="468">
        <f t="shared" si="82"/>
        <v>9532.7999999999993</v>
      </c>
      <c r="AG287" s="478">
        <f t="shared" si="64"/>
        <v>0.97209985315712166</v>
      </c>
      <c r="AH287" s="24"/>
      <c r="AI287" s="24"/>
      <c r="AJ287" s="115"/>
    </row>
    <row r="288" spans="1:36" s="65" customFormat="1" x14ac:dyDescent="0.25">
      <c r="A288" s="87"/>
      <c r="B288" s="57"/>
      <c r="C288" s="59"/>
      <c r="D288" s="59"/>
      <c r="E288" s="60"/>
      <c r="F288" s="59"/>
      <c r="G288" s="64"/>
      <c r="I288" s="88"/>
      <c r="J288" s="88"/>
      <c r="K288" s="88"/>
      <c r="L288" s="61"/>
      <c r="M288" s="88"/>
      <c r="N288" s="61"/>
      <c r="O288" s="89"/>
      <c r="P288" s="61"/>
      <c r="Q288" s="63"/>
      <c r="R288" s="64"/>
      <c r="S288" s="64"/>
      <c r="T288" s="64"/>
      <c r="U288" s="64"/>
      <c r="V288" s="64"/>
      <c r="X288" s="347" t="s">
        <v>121</v>
      </c>
      <c r="Y288" s="348" t="s">
        <v>64</v>
      </c>
      <c r="Z288" s="349" t="s">
        <v>5</v>
      </c>
      <c r="AA288" s="350" t="s">
        <v>7</v>
      </c>
      <c r="AB288" s="351" t="s">
        <v>374</v>
      </c>
      <c r="AC288" s="372" t="s">
        <v>37</v>
      </c>
      <c r="AD288" s="353">
        <f t="shared" si="82"/>
        <v>9806.4000000000015</v>
      </c>
      <c r="AE288" s="353">
        <f t="shared" si="82"/>
        <v>9806.4000000000015</v>
      </c>
      <c r="AF288" s="468">
        <f t="shared" si="82"/>
        <v>9532.7999999999993</v>
      </c>
      <c r="AG288" s="478">
        <f t="shared" si="64"/>
        <v>0.97209985315712166</v>
      </c>
      <c r="AH288" s="24"/>
      <c r="AI288" s="24"/>
      <c r="AJ288" s="115"/>
    </row>
    <row r="289" spans="1:37" s="65" customFormat="1" ht="31.5" x14ac:dyDescent="0.25">
      <c r="A289" s="87"/>
      <c r="B289" s="57"/>
      <c r="C289" s="59"/>
      <c r="D289" s="59"/>
      <c r="E289" s="60"/>
      <c r="F289" s="59"/>
      <c r="G289" s="64"/>
      <c r="I289" s="88"/>
      <c r="J289" s="88"/>
      <c r="K289" s="88"/>
      <c r="L289" s="61"/>
      <c r="M289" s="88"/>
      <c r="N289" s="61"/>
      <c r="O289" s="89"/>
      <c r="P289" s="61"/>
      <c r="Q289" s="63"/>
      <c r="R289" s="64"/>
      <c r="S289" s="64"/>
      <c r="T289" s="64"/>
      <c r="U289" s="64"/>
      <c r="V289" s="64"/>
      <c r="X289" s="347" t="s">
        <v>52</v>
      </c>
      <c r="Y289" s="348" t="s">
        <v>64</v>
      </c>
      <c r="Z289" s="349" t="s">
        <v>5</v>
      </c>
      <c r="AA289" s="350" t="s">
        <v>7</v>
      </c>
      <c r="AB289" s="351" t="s">
        <v>374</v>
      </c>
      <c r="AC289" s="372" t="s">
        <v>66</v>
      </c>
      <c r="AD289" s="353">
        <f>8141.3+15.1+1000+650</f>
        <v>9806.4000000000015</v>
      </c>
      <c r="AE289" s="353">
        <f>8141.3+15.1+1000+650</f>
        <v>9806.4000000000015</v>
      </c>
      <c r="AF289" s="468">
        <v>9532.7999999999993</v>
      </c>
      <c r="AG289" s="478">
        <f t="shared" si="64"/>
        <v>0.97209985315712166</v>
      </c>
      <c r="AH289" s="209"/>
      <c r="AI289" s="24"/>
      <c r="AJ289" s="115"/>
    </row>
    <row r="290" spans="1:37" s="65" customFormat="1" ht="31.5" x14ac:dyDescent="0.25">
      <c r="A290" s="87"/>
      <c r="B290" s="57"/>
      <c r="C290" s="59"/>
      <c r="D290" s="59"/>
      <c r="E290" s="60"/>
      <c r="F290" s="59"/>
      <c r="G290" s="64"/>
      <c r="I290" s="88"/>
      <c r="J290" s="88"/>
      <c r="K290" s="88"/>
      <c r="L290" s="61"/>
      <c r="M290" s="88"/>
      <c r="N290" s="61"/>
      <c r="O290" s="89"/>
      <c r="P290" s="61"/>
      <c r="Q290" s="63"/>
      <c r="R290" s="64"/>
      <c r="S290" s="64"/>
      <c r="T290" s="64"/>
      <c r="U290" s="64"/>
      <c r="V290" s="64"/>
      <c r="X290" s="368" t="s">
        <v>254</v>
      </c>
      <c r="Y290" s="348" t="s">
        <v>64</v>
      </c>
      <c r="Z290" s="349" t="s">
        <v>5</v>
      </c>
      <c r="AA290" s="350" t="s">
        <v>7</v>
      </c>
      <c r="AB290" s="351" t="s">
        <v>350</v>
      </c>
      <c r="AC290" s="372"/>
      <c r="AD290" s="353">
        <f>AD291+AD293+AD295</f>
        <v>8458.8000000000011</v>
      </c>
      <c r="AE290" s="353">
        <f>AE291+AE293+AE295</f>
        <v>8458.8000000000011</v>
      </c>
      <c r="AF290" s="353">
        <f>AF291+AF293+AF295</f>
        <v>8385.7000000000007</v>
      </c>
      <c r="AG290" s="478">
        <f t="shared" si="64"/>
        <v>0.99135811226178649</v>
      </c>
      <c r="AH290" s="24"/>
      <c r="AI290" s="24"/>
      <c r="AJ290" s="115"/>
    </row>
    <row r="291" spans="1:37" s="65" customFormat="1" ht="47.25" x14ac:dyDescent="0.25">
      <c r="A291" s="87"/>
      <c r="B291" s="57"/>
      <c r="C291" s="59"/>
      <c r="D291" s="59"/>
      <c r="E291" s="60"/>
      <c r="F291" s="59"/>
      <c r="G291" s="64"/>
      <c r="I291" s="88"/>
      <c r="J291" s="88"/>
      <c r="K291" s="88"/>
      <c r="L291" s="61"/>
      <c r="M291" s="88"/>
      <c r="N291" s="61"/>
      <c r="O291" s="89"/>
      <c r="P291" s="61"/>
      <c r="Q291" s="63"/>
      <c r="R291" s="64"/>
      <c r="S291" s="64"/>
      <c r="T291" s="64"/>
      <c r="U291" s="64"/>
      <c r="V291" s="64"/>
      <c r="X291" s="347" t="s">
        <v>41</v>
      </c>
      <c r="Y291" s="348" t="s">
        <v>64</v>
      </c>
      <c r="Z291" s="349" t="s">
        <v>5</v>
      </c>
      <c r="AA291" s="350" t="s">
        <v>7</v>
      </c>
      <c r="AB291" s="351" t="s">
        <v>350</v>
      </c>
      <c r="AC291" s="372" t="s">
        <v>127</v>
      </c>
      <c r="AD291" s="353">
        <f>AD292</f>
        <v>7922.8</v>
      </c>
      <c r="AE291" s="353">
        <f>AE292</f>
        <v>7922.8</v>
      </c>
      <c r="AF291" s="468">
        <f>AF292</f>
        <v>7922.8</v>
      </c>
      <c r="AG291" s="478">
        <f t="shared" si="64"/>
        <v>1</v>
      </c>
      <c r="AH291" s="24"/>
      <c r="AI291" s="24"/>
      <c r="AJ291" s="115"/>
    </row>
    <row r="292" spans="1:37" s="65" customFormat="1" x14ac:dyDescent="0.25">
      <c r="A292" s="87"/>
      <c r="B292" s="57"/>
      <c r="C292" s="59"/>
      <c r="D292" s="59"/>
      <c r="E292" s="60"/>
      <c r="F292" s="59"/>
      <c r="G292" s="64"/>
      <c r="I292" s="88"/>
      <c r="J292" s="88"/>
      <c r="K292" s="88"/>
      <c r="L292" s="61"/>
      <c r="M292" s="88"/>
      <c r="N292" s="61"/>
      <c r="O292" s="89"/>
      <c r="P292" s="61"/>
      <c r="Q292" s="63"/>
      <c r="R292" s="64"/>
      <c r="S292" s="64"/>
      <c r="T292" s="64"/>
      <c r="U292" s="64"/>
      <c r="V292" s="64"/>
      <c r="X292" s="347" t="s">
        <v>69</v>
      </c>
      <c r="Y292" s="348" t="s">
        <v>64</v>
      </c>
      <c r="Z292" s="349" t="s">
        <v>5</v>
      </c>
      <c r="AA292" s="350" t="s">
        <v>7</v>
      </c>
      <c r="AB292" s="351" t="s">
        <v>350</v>
      </c>
      <c r="AC292" s="372" t="s">
        <v>128</v>
      </c>
      <c r="AD292" s="353">
        <f>6478.7+602.3+488.5+353.3</f>
        <v>7922.8</v>
      </c>
      <c r="AE292" s="353">
        <f>6478.7+602.3+488.5+353.3</f>
        <v>7922.8</v>
      </c>
      <c r="AF292" s="468">
        <v>7922.8</v>
      </c>
      <c r="AG292" s="478">
        <f t="shared" si="64"/>
        <v>1</v>
      </c>
      <c r="AH292" s="24"/>
      <c r="AI292" s="24"/>
      <c r="AJ292" s="115"/>
    </row>
    <row r="293" spans="1:37" s="65" customFormat="1" x14ac:dyDescent="0.25">
      <c r="A293" s="87"/>
      <c r="B293" s="57"/>
      <c r="C293" s="59"/>
      <c r="D293" s="59"/>
      <c r="E293" s="60"/>
      <c r="F293" s="59"/>
      <c r="G293" s="64"/>
      <c r="I293" s="88"/>
      <c r="J293" s="88"/>
      <c r="K293" s="88"/>
      <c r="L293" s="61"/>
      <c r="M293" s="88"/>
      <c r="N293" s="61"/>
      <c r="O293" s="89"/>
      <c r="P293" s="61"/>
      <c r="Q293" s="63"/>
      <c r="R293" s="64"/>
      <c r="S293" s="64"/>
      <c r="T293" s="64"/>
      <c r="U293" s="64"/>
      <c r="V293" s="64"/>
      <c r="X293" s="347" t="s">
        <v>121</v>
      </c>
      <c r="Y293" s="348" t="s">
        <v>64</v>
      </c>
      <c r="Z293" s="349" t="s">
        <v>5</v>
      </c>
      <c r="AA293" s="350" t="s">
        <v>7</v>
      </c>
      <c r="AB293" s="351" t="s">
        <v>350</v>
      </c>
      <c r="AC293" s="372" t="s">
        <v>37</v>
      </c>
      <c r="AD293" s="353">
        <f>AD294</f>
        <v>534.30000000000007</v>
      </c>
      <c r="AE293" s="353">
        <f>AE294</f>
        <v>534.30000000000007</v>
      </c>
      <c r="AF293" s="468">
        <f>AF294</f>
        <v>461.2</v>
      </c>
      <c r="AG293" s="478">
        <f t="shared" si="64"/>
        <v>0.86318547632416232</v>
      </c>
      <c r="AH293" s="24"/>
      <c r="AI293" s="24"/>
      <c r="AJ293" s="115"/>
    </row>
    <row r="294" spans="1:37" s="65" customFormat="1" ht="31.5" x14ac:dyDescent="0.25">
      <c r="A294" s="87"/>
      <c r="B294" s="57"/>
      <c r="C294" s="59"/>
      <c r="D294" s="59"/>
      <c r="E294" s="60"/>
      <c r="F294" s="59"/>
      <c r="G294" s="64"/>
      <c r="I294" s="88"/>
      <c r="J294" s="88"/>
      <c r="K294" s="88"/>
      <c r="L294" s="61"/>
      <c r="M294" s="88"/>
      <c r="N294" s="61"/>
      <c r="O294" s="89"/>
      <c r="P294" s="61"/>
      <c r="Q294" s="63"/>
      <c r="R294" s="64"/>
      <c r="S294" s="64"/>
      <c r="T294" s="64"/>
      <c r="U294" s="64"/>
      <c r="V294" s="64"/>
      <c r="X294" s="347" t="s">
        <v>52</v>
      </c>
      <c r="Y294" s="348" t="s">
        <v>64</v>
      </c>
      <c r="Z294" s="349" t="s">
        <v>5</v>
      </c>
      <c r="AA294" s="350" t="s">
        <v>7</v>
      </c>
      <c r="AB294" s="351" t="s">
        <v>350</v>
      </c>
      <c r="AC294" s="372" t="s">
        <v>66</v>
      </c>
      <c r="AD294" s="353">
        <f>871.2-1.7+18.1-337.7-15.6</f>
        <v>534.30000000000007</v>
      </c>
      <c r="AE294" s="353">
        <f>871.2-1.7+18.1-337.7-15.6</f>
        <v>534.30000000000007</v>
      </c>
      <c r="AF294" s="468">
        <v>461.2</v>
      </c>
      <c r="AG294" s="478">
        <f t="shared" si="64"/>
        <v>0.86318547632416232</v>
      </c>
      <c r="AH294" s="24"/>
      <c r="AI294" s="24"/>
      <c r="AJ294" s="115"/>
    </row>
    <row r="295" spans="1:37" s="65" customFormat="1" x14ac:dyDescent="0.25">
      <c r="A295" s="87"/>
      <c r="B295" s="57"/>
      <c r="C295" s="59"/>
      <c r="D295" s="59"/>
      <c r="E295" s="60"/>
      <c r="F295" s="59"/>
      <c r="G295" s="64"/>
      <c r="I295" s="88"/>
      <c r="J295" s="88"/>
      <c r="K295" s="88"/>
      <c r="L295" s="61"/>
      <c r="M295" s="88"/>
      <c r="N295" s="61"/>
      <c r="O295" s="89"/>
      <c r="P295" s="61"/>
      <c r="Q295" s="63"/>
      <c r="R295" s="64"/>
      <c r="S295" s="64"/>
      <c r="T295" s="64"/>
      <c r="U295" s="64"/>
      <c r="V295" s="64"/>
      <c r="X295" s="347" t="s">
        <v>42</v>
      </c>
      <c r="Y295" s="348" t="s">
        <v>64</v>
      </c>
      <c r="Z295" s="349" t="s">
        <v>5</v>
      </c>
      <c r="AA295" s="350" t="s">
        <v>7</v>
      </c>
      <c r="AB295" s="351" t="s">
        <v>350</v>
      </c>
      <c r="AC295" s="372" t="s">
        <v>363</v>
      </c>
      <c r="AD295" s="353">
        <f>AD296</f>
        <v>1.7</v>
      </c>
      <c r="AE295" s="353">
        <f>AE296</f>
        <v>1.7</v>
      </c>
      <c r="AF295" s="468">
        <f>AF296</f>
        <v>1.7</v>
      </c>
      <c r="AG295" s="478">
        <f t="shared" si="64"/>
        <v>1</v>
      </c>
      <c r="AH295" s="24"/>
      <c r="AI295" s="24"/>
      <c r="AJ295" s="115"/>
    </row>
    <row r="296" spans="1:37" s="65" customFormat="1" x14ac:dyDescent="0.25">
      <c r="A296" s="87"/>
      <c r="B296" s="57"/>
      <c r="C296" s="59"/>
      <c r="D296" s="59"/>
      <c r="E296" s="60"/>
      <c r="F296" s="59"/>
      <c r="G296" s="64"/>
      <c r="I296" s="88"/>
      <c r="J296" s="88"/>
      <c r="K296" s="88"/>
      <c r="L296" s="61"/>
      <c r="M296" s="88"/>
      <c r="N296" s="61"/>
      <c r="O296" s="89"/>
      <c r="P296" s="61"/>
      <c r="Q296" s="63"/>
      <c r="R296" s="64"/>
      <c r="S296" s="64"/>
      <c r="T296" s="64"/>
      <c r="U296" s="64"/>
      <c r="V296" s="64"/>
      <c r="X296" s="347" t="s">
        <v>58</v>
      </c>
      <c r="Y296" s="348" t="s">
        <v>64</v>
      </c>
      <c r="Z296" s="349" t="s">
        <v>5</v>
      </c>
      <c r="AA296" s="350" t="s">
        <v>7</v>
      </c>
      <c r="AB296" s="351" t="s">
        <v>350</v>
      </c>
      <c r="AC296" s="372" t="s">
        <v>455</v>
      </c>
      <c r="AD296" s="353">
        <v>1.7</v>
      </c>
      <c r="AE296" s="353">
        <v>1.7</v>
      </c>
      <c r="AF296" s="468">
        <v>1.7</v>
      </c>
      <c r="AG296" s="478">
        <f t="shared" si="64"/>
        <v>1</v>
      </c>
      <c r="AH296" s="24"/>
      <c r="AI296" s="24"/>
      <c r="AJ296" s="115"/>
    </row>
    <row r="297" spans="1:37" s="65" customFormat="1" ht="31.5" x14ac:dyDescent="0.25">
      <c r="A297" s="87"/>
      <c r="B297" s="57"/>
      <c r="C297" s="59"/>
      <c r="D297" s="59"/>
      <c r="E297" s="60"/>
      <c r="F297" s="59"/>
      <c r="G297" s="64"/>
      <c r="I297" s="88"/>
      <c r="J297" s="88"/>
      <c r="K297" s="88"/>
      <c r="L297" s="61"/>
      <c r="M297" s="88"/>
      <c r="N297" s="61"/>
      <c r="O297" s="89"/>
      <c r="P297" s="61"/>
      <c r="Q297" s="63"/>
      <c r="R297" s="64"/>
      <c r="S297" s="64"/>
      <c r="T297" s="64"/>
      <c r="U297" s="64"/>
      <c r="V297" s="64"/>
      <c r="X297" s="356" t="s">
        <v>306</v>
      </c>
      <c r="Y297" s="348" t="s">
        <v>64</v>
      </c>
      <c r="Z297" s="349" t="s">
        <v>5</v>
      </c>
      <c r="AA297" s="350" t="s">
        <v>7</v>
      </c>
      <c r="AB297" s="355" t="s">
        <v>132</v>
      </c>
      <c r="AC297" s="372"/>
      <c r="AD297" s="353">
        <f t="shared" ref="AD297:AF298" si="83">AD298</f>
        <v>1569.5</v>
      </c>
      <c r="AE297" s="353">
        <f t="shared" si="83"/>
        <v>1569.5</v>
      </c>
      <c r="AF297" s="468">
        <f t="shared" si="83"/>
        <v>1454.5</v>
      </c>
      <c r="AG297" s="478">
        <f t="shared" si="64"/>
        <v>0.92672825740681741</v>
      </c>
      <c r="AH297" s="24"/>
      <c r="AI297" s="24"/>
      <c r="AJ297" s="115"/>
      <c r="AK297" s="133"/>
    </row>
    <row r="298" spans="1:37" s="65" customFormat="1" ht="47.25" x14ac:dyDescent="0.25">
      <c r="A298" s="87"/>
      <c r="B298" s="57"/>
      <c r="C298" s="59"/>
      <c r="D298" s="59"/>
      <c r="E298" s="60"/>
      <c r="F298" s="59"/>
      <c r="G298" s="64"/>
      <c r="I298" s="88"/>
      <c r="J298" s="88"/>
      <c r="K298" s="88"/>
      <c r="L298" s="61"/>
      <c r="M298" s="88"/>
      <c r="N298" s="61"/>
      <c r="O298" s="89"/>
      <c r="P298" s="61"/>
      <c r="Q298" s="63"/>
      <c r="R298" s="64"/>
      <c r="S298" s="64"/>
      <c r="T298" s="64"/>
      <c r="U298" s="64"/>
      <c r="V298" s="64"/>
      <c r="X298" s="364" t="s">
        <v>553</v>
      </c>
      <c r="Y298" s="348" t="s">
        <v>64</v>
      </c>
      <c r="Z298" s="349" t="s">
        <v>5</v>
      </c>
      <c r="AA298" s="350" t="s">
        <v>7</v>
      </c>
      <c r="AB298" s="355" t="s">
        <v>308</v>
      </c>
      <c r="AC298" s="357"/>
      <c r="AD298" s="353">
        <f t="shared" si="83"/>
        <v>1569.5</v>
      </c>
      <c r="AE298" s="353">
        <f t="shared" si="83"/>
        <v>1569.5</v>
      </c>
      <c r="AF298" s="468">
        <f t="shared" si="83"/>
        <v>1454.5</v>
      </c>
      <c r="AG298" s="478">
        <f t="shared" si="64"/>
        <v>0.92672825740681741</v>
      </c>
      <c r="AH298" s="24"/>
      <c r="AI298" s="24"/>
      <c r="AJ298" s="115"/>
      <c r="AK298" s="133"/>
    </row>
    <row r="299" spans="1:37" s="65" customFormat="1" ht="31.5" x14ac:dyDescent="0.25">
      <c r="A299" s="87"/>
      <c r="B299" s="57"/>
      <c r="C299" s="59"/>
      <c r="D299" s="59"/>
      <c r="E299" s="60"/>
      <c r="F299" s="59"/>
      <c r="G299" s="64"/>
      <c r="I299" s="88"/>
      <c r="J299" s="88"/>
      <c r="K299" s="88"/>
      <c r="L299" s="61"/>
      <c r="M299" s="88"/>
      <c r="N299" s="61"/>
      <c r="O299" s="89"/>
      <c r="P299" s="61"/>
      <c r="Q299" s="63"/>
      <c r="R299" s="64"/>
      <c r="S299" s="64"/>
      <c r="T299" s="64"/>
      <c r="U299" s="64"/>
      <c r="V299" s="64"/>
      <c r="X299" s="365" t="s">
        <v>312</v>
      </c>
      <c r="Y299" s="348" t="s">
        <v>64</v>
      </c>
      <c r="Z299" s="349" t="s">
        <v>5</v>
      </c>
      <c r="AA299" s="350" t="s">
        <v>7</v>
      </c>
      <c r="AB299" s="355" t="s">
        <v>313</v>
      </c>
      <c r="AC299" s="357"/>
      <c r="AD299" s="353">
        <f t="shared" ref="AD299:AF301" si="84">AD300</f>
        <v>1569.5</v>
      </c>
      <c r="AE299" s="353">
        <f t="shared" si="84"/>
        <v>1569.5</v>
      </c>
      <c r="AF299" s="468">
        <f t="shared" si="84"/>
        <v>1454.5</v>
      </c>
      <c r="AG299" s="478">
        <f t="shared" si="64"/>
        <v>0.92672825740681741</v>
      </c>
      <c r="AH299" s="24"/>
      <c r="AI299" s="24"/>
      <c r="AJ299" s="115"/>
    </row>
    <row r="300" spans="1:37" s="65" customFormat="1" ht="47.25" x14ac:dyDescent="0.25">
      <c r="A300" s="87"/>
      <c r="B300" s="57"/>
      <c r="C300" s="59"/>
      <c r="D300" s="59"/>
      <c r="E300" s="60"/>
      <c r="F300" s="59"/>
      <c r="G300" s="64"/>
      <c r="I300" s="88"/>
      <c r="J300" s="88"/>
      <c r="K300" s="88"/>
      <c r="L300" s="61"/>
      <c r="M300" s="88"/>
      <c r="N300" s="61"/>
      <c r="O300" s="89"/>
      <c r="P300" s="61"/>
      <c r="Q300" s="63"/>
      <c r="R300" s="64"/>
      <c r="S300" s="64"/>
      <c r="T300" s="64"/>
      <c r="U300" s="64"/>
      <c r="V300" s="64"/>
      <c r="X300" s="365" t="s">
        <v>369</v>
      </c>
      <c r="Y300" s="348" t="s">
        <v>64</v>
      </c>
      <c r="Z300" s="349" t="s">
        <v>5</v>
      </c>
      <c r="AA300" s="350" t="s">
        <v>7</v>
      </c>
      <c r="AB300" s="355" t="s">
        <v>314</v>
      </c>
      <c r="AC300" s="357"/>
      <c r="AD300" s="353">
        <f>AD301</f>
        <v>1569.5</v>
      </c>
      <c r="AE300" s="353">
        <f>AE301</f>
        <v>1569.5</v>
      </c>
      <c r="AF300" s="468">
        <f>AF301</f>
        <v>1454.5</v>
      </c>
      <c r="AG300" s="478">
        <f t="shared" si="64"/>
        <v>0.92672825740681741</v>
      </c>
      <c r="AH300" s="24"/>
      <c r="AI300" s="24"/>
      <c r="AJ300" s="115"/>
    </row>
    <row r="301" spans="1:37" s="65" customFormat="1" x14ac:dyDescent="0.25">
      <c r="A301" s="87"/>
      <c r="B301" s="57"/>
      <c r="C301" s="59"/>
      <c r="D301" s="59"/>
      <c r="E301" s="60"/>
      <c r="F301" s="59"/>
      <c r="G301" s="64"/>
      <c r="I301" s="88"/>
      <c r="J301" s="88"/>
      <c r="K301" s="88"/>
      <c r="L301" s="61"/>
      <c r="M301" s="88"/>
      <c r="N301" s="61"/>
      <c r="O301" s="89"/>
      <c r="P301" s="61"/>
      <c r="Q301" s="63"/>
      <c r="R301" s="64"/>
      <c r="S301" s="64"/>
      <c r="T301" s="64"/>
      <c r="U301" s="64"/>
      <c r="V301" s="64"/>
      <c r="X301" s="347" t="s">
        <v>121</v>
      </c>
      <c r="Y301" s="348" t="s">
        <v>64</v>
      </c>
      <c r="Z301" s="349" t="s">
        <v>5</v>
      </c>
      <c r="AA301" s="350" t="s">
        <v>7</v>
      </c>
      <c r="AB301" s="355" t="s">
        <v>314</v>
      </c>
      <c r="AC301" s="357">
        <v>200</v>
      </c>
      <c r="AD301" s="353">
        <f t="shared" si="84"/>
        <v>1569.5</v>
      </c>
      <c r="AE301" s="353">
        <f t="shared" si="84"/>
        <v>1569.5</v>
      </c>
      <c r="AF301" s="468">
        <f t="shared" si="84"/>
        <v>1454.5</v>
      </c>
      <c r="AG301" s="478">
        <f t="shared" si="64"/>
        <v>0.92672825740681741</v>
      </c>
      <c r="AH301" s="24"/>
      <c r="AI301" s="24"/>
      <c r="AJ301" s="115"/>
    </row>
    <row r="302" spans="1:37" s="65" customFormat="1" ht="31.5" x14ac:dyDescent="0.25">
      <c r="A302" s="87"/>
      <c r="B302" s="57"/>
      <c r="C302" s="59"/>
      <c r="D302" s="59"/>
      <c r="E302" s="60"/>
      <c r="F302" s="59"/>
      <c r="G302" s="64"/>
      <c r="I302" s="88"/>
      <c r="J302" s="88"/>
      <c r="K302" s="88"/>
      <c r="L302" s="61"/>
      <c r="M302" s="88"/>
      <c r="N302" s="61"/>
      <c r="O302" s="89"/>
      <c r="P302" s="61"/>
      <c r="Q302" s="63"/>
      <c r="R302" s="64"/>
      <c r="S302" s="64"/>
      <c r="T302" s="64"/>
      <c r="U302" s="64"/>
      <c r="V302" s="64"/>
      <c r="X302" s="347" t="s">
        <v>52</v>
      </c>
      <c r="Y302" s="348" t="s">
        <v>64</v>
      </c>
      <c r="Z302" s="349" t="s">
        <v>5</v>
      </c>
      <c r="AA302" s="350" t="s">
        <v>7</v>
      </c>
      <c r="AB302" s="355" t="s">
        <v>314</v>
      </c>
      <c r="AC302" s="357">
        <v>240</v>
      </c>
      <c r="AD302" s="353">
        <f>1300+110+200-34-6.5</f>
        <v>1569.5</v>
      </c>
      <c r="AE302" s="353">
        <f>1300+110+200-34-6.5</f>
        <v>1569.5</v>
      </c>
      <c r="AF302" s="468">
        <v>1454.5</v>
      </c>
      <c r="AG302" s="478">
        <f t="shared" si="64"/>
        <v>0.92672825740681741</v>
      </c>
      <c r="AH302" s="24"/>
      <c r="AI302" s="24"/>
      <c r="AJ302" s="115"/>
    </row>
    <row r="303" spans="1:37" s="80" customFormat="1" x14ac:dyDescent="0.25">
      <c r="A303" s="17"/>
      <c r="B303" s="66"/>
      <c r="C303" s="67"/>
      <c r="D303" s="67"/>
      <c r="E303" s="14"/>
      <c r="F303" s="81"/>
      <c r="G303" s="68"/>
      <c r="I303" s="18"/>
      <c r="J303" s="18"/>
      <c r="K303" s="18"/>
      <c r="L303" s="61"/>
      <c r="M303" s="18"/>
      <c r="N303" s="61"/>
      <c r="O303" s="33"/>
      <c r="P303" s="68"/>
      <c r="Q303" s="69"/>
      <c r="R303" s="19"/>
      <c r="S303" s="19"/>
      <c r="T303" s="19"/>
      <c r="U303" s="19"/>
      <c r="V303" s="19"/>
      <c r="X303" s="354" t="s">
        <v>249</v>
      </c>
      <c r="Y303" s="348" t="s">
        <v>64</v>
      </c>
      <c r="Z303" s="349" t="s">
        <v>5</v>
      </c>
      <c r="AA303" s="350" t="s">
        <v>7</v>
      </c>
      <c r="AB303" s="355" t="s">
        <v>250</v>
      </c>
      <c r="AC303" s="372"/>
      <c r="AD303" s="353">
        <f>AD309+AD304</f>
        <v>164166.70000000001</v>
      </c>
      <c r="AE303" s="353">
        <f t="shared" ref="AE303:AF303" si="85">AE309+AE304</f>
        <v>164166.70000000001</v>
      </c>
      <c r="AF303" s="353">
        <f t="shared" si="85"/>
        <v>164166.70000000001</v>
      </c>
      <c r="AG303" s="478">
        <f t="shared" si="64"/>
        <v>1</v>
      </c>
      <c r="AH303" s="24"/>
      <c r="AI303" s="24"/>
      <c r="AJ303" s="115"/>
    </row>
    <row r="304" spans="1:37" s="80" customFormat="1" x14ac:dyDescent="0.25">
      <c r="A304" s="17"/>
      <c r="B304" s="66"/>
      <c r="C304" s="67"/>
      <c r="D304" s="67"/>
      <c r="E304" s="14"/>
      <c r="F304" s="81"/>
      <c r="G304" s="68"/>
      <c r="I304" s="18"/>
      <c r="J304" s="18"/>
      <c r="K304" s="18"/>
      <c r="L304" s="61"/>
      <c r="M304" s="18"/>
      <c r="N304" s="61"/>
      <c r="O304" s="33"/>
      <c r="P304" s="68"/>
      <c r="Q304" s="69"/>
      <c r="R304" s="19"/>
      <c r="S304" s="19"/>
      <c r="T304" s="19"/>
      <c r="U304" s="19"/>
      <c r="V304" s="19"/>
      <c r="X304" s="354" t="s">
        <v>389</v>
      </c>
      <c r="Y304" s="348" t="s">
        <v>64</v>
      </c>
      <c r="Z304" s="349" t="s">
        <v>5</v>
      </c>
      <c r="AA304" s="350" t="s">
        <v>7</v>
      </c>
      <c r="AB304" s="355" t="s">
        <v>390</v>
      </c>
      <c r="AC304" s="372"/>
      <c r="AD304" s="353">
        <f t="shared" ref="AD304:AF307" si="86">AD305</f>
        <v>300</v>
      </c>
      <c r="AE304" s="353">
        <f t="shared" si="86"/>
        <v>300</v>
      </c>
      <c r="AF304" s="468">
        <f t="shared" si="86"/>
        <v>300</v>
      </c>
      <c r="AG304" s="478">
        <f t="shared" si="64"/>
        <v>1</v>
      </c>
      <c r="AH304" s="24"/>
      <c r="AI304" s="24"/>
      <c r="AJ304" s="115"/>
    </row>
    <row r="305" spans="1:36" s="80" customFormat="1" ht="31.5" x14ac:dyDescent="0.25">
      <c r="A305" s="17"/>
      <c r="B305" s="66"/>
      <c r="C305" s="67"/>
      <c r="D305" s="67"/>
      <c r="E305" s="14"/>
      <c r="F305" s="81"/>
      <c r="G305" s="68"/>
      <c r="I305" s="18"/>
      <c r="J305" s="18"/>
      <c r="K305" s="18"/>
      <c r="L305" s="61"/>
      <c r="M305" s="18"/>
      <c r="N305" s="61"/>
      <c r="O305" s="33"/>
      <c r="P305" s="68"/>
      <c r="Q305" s="69"/>
      <c r="R305" s="19"/>
      <c r="S305" s="19"/>
      <c r="T305" s="19"/>
      <c r="U305" s="19"/>
      <c r="V305" s="19"/>
      <c r="X305" s="354" t="s">
        <v>418</v>
      </c>
      <c r="Y305" s="348" t="s">
        <v>64</v>
      </c>
      <c r="Z305" s="349" t="s">
        <v>5</v>
      </c>
      <c r="AA305" s="350" t="s">
        <v>7</v>
      </c>
      <c r="AB305" s="355" t="s">
        <v>419</v>
      </c>
      <c r="AC305" s="372"/>
      <c r="AD305" s="353">
        <f t="shared" si="86"/>
        <v>300</v>
      </c>
      <c r="AE305" s="353">
        <f t="shared" si="86"/>
        <v>300</v>
      </c>
      <c r="AF305" s="468">
        <f t="shared" si="86"/>
        <v>300</v>
      </c>
      <c r="AG305" s="478">
        <f t="shared" si="64"/>
        <v>1</v>
      </c>
      <c r="AH305" s="24"/>
      <c r="AI305" s="24"/>
      <c r="AJ305" s="115"/>
    </row>
    <row r="306" spans="1:36" s="80" customFormat="1" ht="31.5" x14ac:dyDescent="0.25">
      <c r="A306" s="17"/>
      <c r="B306" s="66"/>
      <c r="C306" s="67"/>
      <c r="D306" s="67"/>
      <c r="E306" s="14"/>
      <c r="F306" s="81"/>
      <c r="G306" s="68"/>
      <c r="I306" s="18"/>
      <c r="J306" s="18"/>
      <c r="K306" s="18"/>
      <c r="L306" s="61"/>
      <c r="M306" s="18"/>
      <c r="N306" s="61"/>
      <c r="O306" s="33"/>
      <c r="P306" s="68"/>
      <c r="Q306" s="69"/>
      <c r="R306" s="19"/>
      <c r="S306" s="19"/>
      <c r="T306" s="19"/>
      <c r="U306" s="19"/>
      <c r="V306" s="19"/>
      <c r="X306" s="354" t="s">
        <v>654</v>
      </c>
      <c r="Y306" s="348" t="s">
        <v>64</v>
      </c>
      <c r="Z306" s="349" t="s">
        <v>5</v>
      </c>
      <c r="AA306" s="350" t="s">
        <v>7</v>
      </c>
      <c r="AB306" s="355" t="s">
        <v>655</v>
      </c>
      <c r="AC306" s="372"/>
      <c r="AD306" s="353">
        <f t="shared" si="86"/>
        <v>300</v>
      </c>
      <c r="AE306" s="353">
        <f t="shared" si="86"/>
        <v>300</v>
      </c>
      <c r="AF306" s="468">
        <f t="shared" si="86"/>
        <v>300</v>
      </c>
      <c r="AG306" s="478">
        <f t="shared" si="64"/>
        <v>1</v>
      </c>
      <c r="AH306" s="24"/>
      <c r="AI306" s="24"/>
      <c r="AJ306" s="115"/>
    </row>
    <row r="307" spans="1:36" s="80" customFormat="1" ht="31.5" x14ac:dyDescent="0.25">
      <c r="A307" s="17"/>
      <c r="B307" s="66"/>
      <c r="C307" s="67"/>
      <c r="D307" s="67"/>
      <c r="E307" s="14"/>
      <c r="F307" s="81"/>
      <c r="G307" s="68"/>
      <c r="I307" s="18"/>
      <c r="J307" s="18"/>
      <c r="K307" s="18"/>
      <c r="L307" s="61"/>
      <c r="M307" s="18"/>
      <c r="N307" s="61"/>
      <c r="O307" s="33"/>
      <c r="P307" s="68"/>
      <c r="Q307" s="69"/>
      <c r="R307" s="19"/>
      <c r="S307" s="19"/>
      <c r="T307" s="19"/>
      <c r="U307" s="19"/>
      <c r="V307" s="19"/>
      <c r="X307" s="347" t="s">
        <v>61</v>
      </c>
      <c r="Y307" s="348" t="s">
        <v>64</v>
      </c>
      <c r="Z307" s="349" t="s">
        <v>5</v>
      </c>
      <c r="AA307" s="350" t="s">
        <v>7</v>
      </c>
      <c r="AB307" s="355" t="s">
        <v>655</v>
      </c>
      <c r="AC307" s="372" t="s">
        <v>411</v>
      </c>
      <c r="AD307" s="353">
        <f t="shared" si="86"/>
        <v>300</v>
      </c>
      <c r="AE307" s="353">
        <f t="shared" si="86"/>
        <v>300</v>
      </c>
      <c r="AF307" s="468">
        <f t="shared" si="86"/>
        <v>300</v>
      </c>
      <c r="AG307" s="478">
        <f t="shared" si="64"/>
        <v>1</v>
      </c>
      <c r="AH307" s="24"/>
      <c r="AI307" s="24"/>
      <c r="AJ307" s="115"/>
    </row>
    <row r="308" spans="1:36" s="80" customFormat="1" x14ac:dyDescent="0.25">
      <c r="A308" s="17"/>
      <c r="B308" s="66"/>
      <c r="C308" s="67"/>
      <c r="D308" s="67"/>
      <c r="E308" s="14"/>
      <c r="F308" s="81"/>
      <c r="G308" s="68"/>
      <c r="I308" s="18"/>
      <c r="J308" s="18"/>
      <c r="K308" s="18"/>
      <c r="L308" s="61"/>
      <c r="M308" s="18"/>
      <c r="N308" s="61"/>
      <c r="O308" s="33"/>
      <c r="P308" s="68"/>
      <c r="Q308" s="69"/>
      <c r="R308" s="19"/>
      <c r="S308" s="19"/>
      <c r="T308" s="19"/>
      <c r="U308" s="19"/>
      <c r="V308" s="19"/>
      <c r="X308" s="347" t="s">
        <v>62</v>
      </c>
      <c r="Y308" s="348" t="s">
        <v>64</v>
      </c>
      <c r="Z308" s="349" t="s">
        <v>5</v>
      </c>
      <c r="AA308" s="350" t="s">
        <v>7</v>
      </c>
      <c r="AB308" s="355" t="s">
        <v>655</v>
      </c>
      <c r="AC308" s="372" t="s">
        <v>412</v>
      </c>
      <c r="AD308" s="353">
        <f>550-250</f>
        <v>300</v>
      </c>
      <c r="AE308" s="353">
        <f>550-250</f>
        <v>300</v>
      </c>
      <c r="AF308" s="468">
        <v>300</v>
      </c>
      <c r="AG308" s="478">
        <f t="shared" si="64"/>
        <v>1</v>
      </c>
      <c r="AH308" s="24"/>
      <c r="AI308" s="24"/>
      <c r="AJ308" s="115"/>
    </row>
    <row r="309" spans="1:36" s="80" customFormat="1" ht="31.5" x14ac:dyDescent="0.25">
      <c r="A309" s="17"/>
      <c r="B309" s="66"/>
      <c r="C309" s="67"/>
      <c r="D309" s="67"/>
      <c r="E309" s="14"/>
      <c r="F309" s="81"/>
      <c r="G309" s="68"/>
      <c r="I309" s="18"/>
      <c r="J309" s="18"/>
      <c r="K309" s="18"/>
      <c r="L309" s="61"/>
      <c r="M309" s="18"/>
      <c r="N309" s="61"/>
      <c r="O309" s="33"/>
      <c r="P309" s="68"/>
      <c r="Q309" s="69"/>
      <c r="R309" s="19"/>
      <c r="S309" s="19"/>
      <c r="T309" s="19"/>
      <c r="U309" s="19"/>
      <c r="V309" s="19"/>
      <c r="X309" s="369" t="s">
        <v>579</v>
      </c>
      <c r="Y309" s="348" t="s">
        <v>64</v>
      </c>
      <c r="Z309" s="349" t="s">
        <v>5</v>
      </c>
      <c r="AA309" s="350" t="s">
        <v>7</v>
      </c>
      <c r="AB309" s="355" t="s">
        <v>251</v>
      </c>
      <c r="AC309" s="372"/>
      <c r="AD309" s="353">
        <f t="shared" ref="AD309:AF312" si="87">AD310</f>
        <v>163866.70000000001</v>
      </c>
      <c r="AE309" s="353">
        <f t="shared" si="87"/>
        <v>163866.70000000001</v>
      </c>
      <c r="AF309" s="468">
        <f t="shared" si="87"/>
        <v>163866.70000000001</v>
      </c>
      <c r="AG309" s="478">
        <f t="shared" si="64"/>
        <v>1</v>
      </c>
      <c r="AH309" s="24"/>
      <c r="AI309" s="24"/>
      <c r="AJ309" s="115"/>
    </row>
    <row r="310" spans="1:36" s="80" customFormat="1" ht="31.5" x14ac:dyDescent="0.25">
      <c r="A310" s="17"/>
      <c r="B310" s="66"/>
      <c r="C310" s="67"/>
      <c r="D310" s="67"/>
      <c r="E310" s="14"/>
      <c r="F310" s="81"/>
      <c r="G310" s="68"/>
      <c r="I310" s="18"/>
      <c r="J310" s="18"/>
      <c r="K310" s="18"/>
      <c r="L310" s="61"/>
      <c r="M310" s="18"/>
      <c r="N310" s="61"/>
      <c r="O310" s="33"/>
      <c r="P310" s="68"/>
      <c r="Q310" s="69"/>
      <c r="R310" s="19"/>
      <c r="S310" s="19"/>
      <c r="T310" s="19"/>
      <c r="U310" s="19"/>
      <c r="V310" s="19"/>
      <c r="X310" s="368" t="s">
        <v>580</v>
      </c>
      <c r="Y310" s="348" t="s">
        <v>64</v>
      </c>
      <c r="Z310" s="349" t="s">
        <v>5</v>
      </c>
      <c r="AA310" s="350" t="s">
        <v>7</v>
      </c>
      <c r="AB310" s="355" t="s">
        <v>252</v>
      </c>
      <c r="AC310" s="357"/>
      <c r="AD310" s="353">
        <f>AD311</f>
        <v>163866.70000000001</v>
      </c>
      <c r="AE310" s="353">
        <f>AE311</f>
        <v>163866.70000000001</v>
      </c>
      <c r="AF310" s="468">
        <f t="shared" si="87"/>
        <v>163866.70000000001</v>
      </c>
      <c r="AG310" s="478">
        <f t="shared" si="64"/>
        <v>1</v>
      </c>
      <c r="AH310" s="24"/>
      <c r="AI310" s="24"/>
      <c r="AJ310" s="115"/>
    </row>
    <row r="311" spans="1:36" s="80" customFormat="1" ht="31.5" x14ac:dyDescent="0.25">
      <c r="A311" s="17"/>
      <c r="B311" s="66"/>
      <c r="C311" s="67"/>
      <c r="D311" s="67"/>
      <c r="E311" s="14"/>
      <c r="F311" s="81"/>
      <c r="G311" s="68"/>
      <c r="I311" s="18"/>
      <c r="J311" s="18"/>
      <c r="K311" s="18"/>
      <c r="L311" s="61"/>
      <c r="M311" s="18"/>
      <c r="N311" s="61"/>
      <c r="O311" s="33"/>
      <c r="P311" s="68"/>
      <c r="Q311" s="69"/>
      <c r="R311" s="19"/>
      <c r="S311" s="19"/>
      <c r="T311" s="19"/>
      <c r="U311" s="19"/>
      <c r="V311" s="19"/>
      <c r="X311" s="368" t="s">
        <v>626</v>
      </c>
      <c r="Y311" s="348" t="s">
        <v>64</v>
      </c>
      <c r="Z311" s="349" t="s">
        <v>5</v>
      </c>
      <c r="AA311" s="350" t="s">
        <v>7</v>
      </c>
      <c r="AB311" s="355" t="s">
        <v>446</v>
      </c>
      <c r="AC311" s="357"/>
      <c r="AD311" s="353">
        <f t="shared" si="87"/>
        <v>163866.70000000001</v>
      </c>
      <c r="AE311" s="353">
        <f t="shared" si="87"/>
        <v>163866.70000000001</v>
      </c>
      <c r="AF311" s="468">
        <f t="shared" si="87"/>
        <v>163866.70000000001</v>
      </c>
      <c r="AG311" s="478">
        <f t="shared" ref="AG311:AG374" si="88">AF311/AE311</f>
        <v>1</v>
      </c>
      <c r="AH311" s="24"/>
      <c r="AI311" s="24"/>
      <c r="AJ311" s="115"/>
    </row>
    <row r="312" spans="1:36" s="80" customFormat="1" ht="31.5" x14ac:dyDescent="0.25">
      <c r="A312" s="17"/>
      <c r="B312" s="66"/>
      <c r="C312" s="67"/>
      <c r="D312" s="67"/>
      <c r="E312" s="14"/>
      <c r="F312" s="81"/>
      <c r="G312" s="68"/>
      <c r="I312" s="18"/>
      <c r="J312" s="18"/>
      <c r="K312" s="18"/>
      <c r="L312" s="61"/>
      <c r="M312" s="18"/>
      <c r="N312" s="61"/>
      <c r="O312" s="33"/>
      <c r="P312" s="68"/>
      <c r="Q312" s="69"/>
      <c r="R312" s="19"/>
      <c r="S312" s="19"/>
      <c r="T312" s="19"/>
      <c r="U312" s="19"/>
      <c r="V312" s="19"/>
      <c r="X312" s="347" t="s">
        <v>61</v>
      </c>
      <c r="Y312" s="348" t="s">
        <v>64</v>
      </c>
      <c r="Z312" s="349" t="s">
        <v>5</v>
      </c>
      <c r="AA312" s="350" t="s">
        <v>7</v>
      </c>
      <c r="AB312" s="355" t="s">
        <v>446</v>
      </c>
      <c r="AC312" s="352">
        <v>600</v>
      </c>
      <c r="AD312" s="353">
        <f t="shared" si="87"/>
        <v>163866.70000000001</v>
      </c>
      <c r="AE312" s="353">
        <f t="shared" si="87"/>
        <v>163866.70000000001</v>
      </c>
      <c r="AF312" s="468">
        <f t="shared" si="87"/>
        <v>163866.70000000001</v>
      </c>
      <c r="AG312" s="478">
        <f t="shared" si="88"/>
        <v>1</v>
      </c>
      <c r="AH312" s="24"/>
      <c r="AI312" s="24"/>
      <c r="AJ312" s="115"/>
    </row>
    <row r="313" spans="1:36" s="80" customFormat="1" x14ac:dyDescent="0.25">
      <c r="A313" s="17"/>
      <c r="B313" s="66"/>
      <c r="C313" s="67"/>
      <c r="D313" s="67"/>
      <c r="E313" s="14"/>
      <c r="F313" s="81"/>
      <c r="G313" s="68"/>
      <c r="I313" s="18"/>
      <c r="J313" s="18"/>
      <c r="K313" s="18"/>
      <c r="L313" s="61"/>
      <c r="M313" s="18"/>
      <c r="N313" s="61"/>
      <c r="O313" s="33"/>
      <c r="P313" s="68"/>
      <c r="Q313" s="69"/>
      <c r="R313" s="19"/>
      <c r="S313" s="19"/>
      <c r="T313" s="19"/>
      <c r="U313" s="19"/>
      <c r="V313" s="19"/>
      <c r="X313" s="347" t="s">
        <v>62</v>
      </c>
      <c r="Y313" s="348" t="s">
        <v>64</v>
      </c>
      <c r="Z313" s="349" t="s">
        <v>5</v>
      </c>
      <c r="AA313" s="350" t="s">
        <v>7</v>
      </c>
      <c r="AB313" s="355" t="s">
        <v>446</v>
      </c>
      <c r="AC313" s="357">
        <v>610</v>
      </c>
      <c r="AD313" s="353">
        <f>156239.7+6427+1200</f>
        <v>163866.70000000001</v>
      </c>
      <c r="AE313" s="353">
        <f>156239.7+6427+1200</f>
        <v>163866.70000000001</v>
      </c>
      <c r="AF313" s="468">
        <v>163866.70000000001</v>
      </c>
      <c r="AG313" s="478">
        <f t="shared" si="88"/>
        <v>1</v>
      </c>
      <c r="AH313" s="24"/>
      <c r="AI313" s="24"/>
      <c r="AJ313" s="115"/>
    </row>
    <row r="314" spans="1:36" s="65" customFormat="1" x14ac:dyDescent="0.25">
      <c r="A314" s="56"/>
      <c r="B314" s="57"/>
      <c r="C314" s="59"/>
      <c r="D314" s="60"/>
      <c r="E314" s="60"/>
      <c r="F314" s="60"/>
      <c r="G314" s="61"/>
      <c r="H314" s="61"/>
      <c r="I314" s="61"/>
      <c r="J314" s="61"/>
      <c r="K314" s="61"/>
      <c r="L314" s="61"/>
      <c r="M314" s="61"/>
      <c r="N314" s="61"/>
      <c r="O314" s="62"/>
      <c r="P314" s="61"/>
      <c r="Q314" s="63"/>
      <c r="R314" s="64"/>
      <c r="S314" s="64"/>
      <c r="T314" s="64"/>
      <c r="U314" s="64"/>
      <c r="V314" s="64"/>
      <c r="W314" s="64"/>
      <c r="X314" s="340" t="s">
        <v>4</v>
      </c>
      <c r="Y314" s="341" t="s">
        <v>64</v>
      </c>
      <c r="Z314" s="378" t="s">
        <v>8</v>
      </c>
      <c r="AA314" s="400"/>
      <c r="AB314" s="344"/>
      <c r="AC314" s="345"/>
      <c r="AD314" s="346">
        <f>AD315+AD330+AD345</f>
        <v>74999.399999999994</v>
      </c>
      <c r="AE314" s="346">
        <f>AE315+AE330+AE345</f>
        <v>74999.399999999994</v>
      </c>
      <c r="AF314" s="467">
        <f>AF315+AF330+AF345</f>
        <v>74994.8</v>
      </c>
      <c r="AG314" s="477">
        <f t="shared" si="88"/>
        <v>0.99993866617599614</v>
      </c>
      <c r="AH314" s="160"/>
      <c r="AI314" s="160"/>
      <c r="AJ314" s="115"/>
    </row>
    <row r="315" spans="1:36" s="65" customFormat="1" x14ac:dyDescent="0.25">
      <c r="A315" s="56"/>
      <c r="B315" s="57"/>
      <c r="C315" s="59"/>
      <c r="D315" s="60"/>
      <c r="E315" s="60"/>
      <c r="F315" s="60"/>
      <c r="G315" s="61"/>
      <c r="H315" s="61"/>
      <c r="I315" s="61"/>
      <c r="J315" s="61"/>
      <c r="K315" s="61"/>
      <c r="L315" s="61"/>
      <c r="M315" s="61"/>
      <c r="N315" s="61"/>
      <c r="O315" s="62"/>
      <c r="P315" s="61"/>
      <c r="Q315" s="63"/>
      <c r="R315" s="64"/>
      <c r="S315" s="64"/>
      <c r="T315" s="64"/>
      <c r="U315" s="64"/>
      <c r="V315" s="64"/>
      <c r="W315" s="64"/>
      <c r="X315" s="347" t="s">
        <v>135</v>
      </c>
      <c r="Y315" s="348" t="s">
        <v>64</v>
      </c>
      <c r="Z315" s="401" t="s">
        <v>8</v>
      </c>
      <c r="AA315" s="350" t="s">
        <v>7</v>
      </c>
      <c r="AB315" s="344"/>
      <c r="AC315" s="345"/>
      <c r="AD315" s="353">
        <f t="shared" ref="AD315:AF316" si="89">AD316</f>
        <v>71732.5</v>
      </c>
      <c r="AE315" s="353">
        <f t="shared" si="89"/>
        <v>71732.5</v>
      </c>
      <c r="AF315" s="468">
        <f t="shared" si="89"/>
        <v>71728.3</v>
      </c>
      <c r="AG315" s="478">
        <f t="shared" si="88"/>
        <v>0.99994144913393512</v>
      </c>
      <c r="AH315" s="24"/>
      <c r="AI315" s="24"/>
      <c r="AJ315" s="115"/>
    </row>
    <row r="316" spans="1:36" s="65" customFormat="1" x14ac:dyDescent="0.25">
      <c r="A316" s="56"/>
      <c r="B316" s="57"/>
      <c r="C316" s="59"/>
      <c r="D316" s="60"/>
      <c r="E316" s="60"/>
      <c r="F316" s="60"/>
      <c r="G316" s="61"/>
      <c r="H316" s="61"/>
      <c r="I316" s="61"/>
      <c r="J316" s="61"/>
      <c r="K316" s="61"/>
      <c r="L316" s="61"/>
      <c r="M316" s="61"/>
      <c r="N316" s="61"/>
      <c r="O316" s="62"/>
      <c r="P316" s="61"/>
      <c r="Q316" s="63"/>
      <c r="R316" s="64"/>
      <c r="S316" s="64"/>
      <c r="T316" s="64"/>
      <c r="U316" s="64"/>
      <c r="V316" s="64"/>
      <c r="W316" s="64"/>
      <c r="X316" s="356" t="s">
        <v>612</v>
      </c>
      <c r="Y316" s="348" t="s">
        <v>64</v>
      </c>
      <c r="Z316" s="401" t="s">
        <v>8</v>
      </c>
      <c r="AA316" s="350" t="s">
        <v>7</v>
      </c>
      <c r="AB316" s="355" t="s">
        <v>115</v>
      </c>
      <c r="AC316" s="345"/>
      <c r="AD316" s="353">
        <f t="shared" si="89"/>
        <v>71732.5</v>
      </c>
      <c r="AE316" s="353">
        <f t="shared" si="89"/>
        <v>71732.5</v>
      </c>
      <c r="AF316" s="468">
        <f t="shared" si="89"/>
        <v>71728.3</v>
      </c>
      <c r="AG316" s="478">
        <f t="shared" si="88"/>
        <v>0.99994144913393512</v>
      </c>
      <c r="AH316" s="24"/>
      <c r="AI316" s="24"/>
      <c r="AJ316" s="115"/>
    </row>
    <row r="317" spans="1:36" s="65" customFormat="1" x14ac:dyDescent="0.25">
      <c r="A317" s="56"/>
      <c r="B317" s="57"/>
      <c r="C317" s="59"/>
      <c r="D317" s="60"/>
      <c r="E317" s="60"/>
      <c r="F317" s="60"/>
      <c r="G317" s="61"/>
      <c r="H317" s="61"/>
      <c r="I317" s="61"/>
      <c r="J317" s="61"/>
      <c r="K317" s="61"/>
      <c r="L317" s="61"/>
      <c r="M317" s="61"/>
      <c r="N317" s="61"/>
      <c r="O317" s="62"/>
      <c r="P317" s="61"/>
      <c r="Q317" s="63"/>
      <c r="R317" s="64"/>
      <c r="S317" s="64"/>
      <c r="T317" s="64"/>
      <c r="U317" s="64"/>
      <c r="V317" s="64"/>
      <c r="W317" s="64"/>
      <c r="X317" s="347" t="s">
        <v>533</v>
      </c>
      <c r="Y317" s="348" t="s">
        <v>64</v>
      </c>
      <c r="Z317" s="401" t="s">
        <v>8</v>
      </c>
      <c r="AA317" s="350" t="s">
        <v>7</v>
      </c>
      <c r="AB317" s="355" t="s">
        <v>403</v>
      </c>
      <c r="AC317" s="352"/>
      <c r="AD317" s="382">
        <f>AD318+AD322+AD326</f>
        <v>71732.5</v>
      </c>
      <c r="AE317" s="382">
        <f>AE318+AE322+AE326</f>
        <v>71732.5</v>
      </c>
      <c r="AF317" s="469">
        <f t="shared" ref="AF317" si="90">AF318+AF322+AF326</f>
        <v>71728.3</v>
      </c>
      <c r="AG317" s="478">
        <f t="shared" si="88"/>
        <v>0.99994144913393512</v>
      </c>
      <c r="AH317" s="24"/>
      <c r="AI317" s="24"/>
      <c r="AJ317" s="115"/>
    </row>
    <row r="318" spans="1:36" s="65" customFormat="1" ht="31.5" x14ac:dyDescent="0.25">
      <c r="A318" s="56"/>
      <c r="B318" s="57"/>
      <c r="C318" s="59"/>
      <c r="D318" s="60"/>
      <c r="E318" s="60"/>
      <c r="F318" s="60"/>
      <c r="G318" s="61"/>
      <c r="H318" s="61"/>
      <c r="I318" s="61"/>
      <c r="J318" s="61"/>
      <c r="K318" s="61"/>
      <c r="L318" s="61"/>
      <c r="M318" s="61"/>
      <c r="N318" s="61"/>
      <c r="O318" s="62"/>
      <c r="P318" s="61"/>
      <c r="Q318" s="63"/>
      <c r="R318" s="64"/>
      <c r="S318" s="64"/>
      <c r="T318" s="64"/>
      <c r="U318" s="64"/>
      <c r="V318" s="64"/>
      <c r="W318" s="64"/>
      <c r="X318" s="347" t="s">
        <v>449</v>
      </c>
      <c r="Y318" s="348" t="s">
        <v>64</v>
      </c>
      <c r="Z318" s="349" t="s">
        <v>8</v>
      </c>
      <c r="AA318" s="350" t="s">
        <v>7</v>
      </c>
      <c r="AB318" s="355" t="s">
        <v>404</v>
      </c>
      <c r="AC318" s="352"/>
      <c r="AD318" s="382">
        <f t="shared" ref="AD318:AF320" si="91">AD319</f>
        <v>69402.5</v>
      </c>
      <c r="AE318" s="382">
        <f t="shared" si="91"/>
        <v>69402.5</v>
      </c>
      <c r="AF318" s="469">
        <f t="shared" si="91"/>
        <v>69398.3</v>
      </c>
      <c r="AG318" s="478">
        <f t="shared" si="88"/>
        <v>0.99993948344800265</v>
      </c>
      <c r="AH318" s="24"/>
      <c r="AI318" s="24"/>
      <c r="AJ318" s="115"/>
    </row>
    <row r="319" spans="1:36" s="65" customFormat="1" ht="31.5" x14ac:dyDescent="0.25">
      <c r="A319" s="56"/>
      <c r="B319" s="57"/>
      <c r="C319" s="59"/>
      <c r="D319" s="60"/>
      <c r="E319" s="60"/>
      <c r="F319" s="60"/>
      <c r="G319" s="61"/>
      <c r="H319" s="61"/>
      <c r="I319" s="61"/>
      <c r="J319" s="61"/>
      <c r="K319" s="61"/>
      <c r="L319" s="61"/>
      <c r="M319" s="61"/>
      <c r="N319" s="61"/>
      <c r="O319" s="62"/>
      <c r="P319" s="61"/>
      <c r="Q319" s="63"/>
      <c r="R319" s="64"/>
      <c r="S319" s="64"/>
      <c r="T319" s="64"/>
      <c r="U319" s="64"/>
      <c r="V319" s="64"/>
      <c r="W319" s="64"/>
      <c r="X319" s="358" t="s">
        <v>402</v>
      </c>
      <c r="Y319" s="348" t="s">
        <v>64</v>
      </c>
      <c r="Z319" s="349" t="s">
        <v>8</v>
      </c>
      <c r="AA319" s="350" t="s">
        <v>7</v>
      </c>
      <c r="AB319" s="355" t="s">
        <v>405</v>
      </c>
      <c r="AC319" s="352"/>
      <c r="AD319" s="382">
        <f t="shared" si="91"/>
        <v>69402.5</v>
      </c>
      <c r="AE319" s="382">
        <f t="shared" si="91"/>
        <v>69402.5</v>
      </c>
      <c r="AF319" s="469">
        <f t="shared" si="91"/>
        <v>69398.3</v>
      </c>
      <c r="AG319" s="478">
        <f t="shared" si="88"/>
        <v>0.99993948344800265</v>
      </c>
      <c r="AH319" s="24"/>
      <c r="AI319" s="24"/>
      <c r="AJ319" s="115"/>
    </row>
    <row r="320" spans="1:36" s="65" customFormat="1" ht="31.5" x14ac:dyDescent="0.25">
      <c r="A320" s="56"/>
      <c r="B320" s="57"/>
      <c r="C320" s="59"/>
      <c r="D320" s="60"/>
      <c r="E320" s="60"/>
      <c r="F320" s="60"/>
      <c r="G320" s="61"/>
      <c r="H320" s="61"/>
      <c r="I320" s="61"/>
      <c r="J320" s="61"/>
      <c r="K320" s="61"/>
      <c r="L320" s="61"/>
      <c r="M320" s="61"/>
      <c r="N320" s="61"/>
      <c r="O320" s="62"/>
      <c r="P320" s="61"/>
      <c r="Q320" s="63"/>
      <c r="R320" s="64"/>
      <c r="S320" s="64"/>
      <c r="T320" s="64"/>
      <c r="U320" s="64"/>
      <c r="V320" s="64"/>
      <c r="W320" s="64"/>
      <c r="X320" s="402" t="s">
        <v>61</v>
      </c>
      <c r="Y320" s="348" t="s">
        <v>64</v>
      </c>
      <c r="Z320" s="349" t="s">
        <v>8</v>
      </c>
      <c r="AA320" s="350" t="s">
        <v>7</v>
      </c>
      <c r="AB320" s="355" t="s">
        <v>405</v>
      </c>
      <c r="AC320" s="352">
        <v>600</v>
      </c>
      <c r="AD320" s="382">
        <f t="shared" si="91"/>
        <v>69402.5</v>
      </c>
      <c r="AE320" s="382">
        <f t="shared" si="91"/>
        <v>69402.5</v>
      </c>
      <c r="AF320" s="469">
        <f t="shared" si="91"/>
        <v>69398.3</v>
      </c>
      <c r="AG320" s="478">
        <f t="shared" si="88"/>
        <v>0.99993948344800265</v>
      </c>
      <c r="AH320" s="24"/>
      <c r="AI320" s="24"/>
      <c r="AJ320" s="115"/>
    </row>
    <row r="321" spans="1:36" s="65" customFormat="1" x14ac:dyDescent="0.25">
      <c r="A321" s="56"/>
      <c r="B321" s="57"/>
      <c r="C321" s="59"/>
      <c r="D321" s="60"/>
      <c r="E321" s="60"/>
      <c r="F321" s="60"/>
      <c r="G321" s="61"/>
      <c r="H321" s="61"/>
      <c r="I321" s="61"/>
      <c r="J321" s="61"/>
      <c r="K321" s="61"/>
      <c r="L321" s="61"/>
      <c r="M321" s="61"/>
      <c r="N321" s="61"/>
      <c r="O321" s="62"/>
      <c r="P321" s="61"/>
      <c r="Q321" s="63"/>
      <c r="R321" s="64"/>
      <c r="S321" s="64"/>
      <c r="T321" s="64"/>
      <c r="U321" s="64"/>
      <c r="V321" s="64"/>
      <c r="W321" s="64"/>
      <c r="X321" s="347" t="s">
        <v>62</v>
      </c>
      <c r="Y321" s="348" t="s">
        <v>64</v>
      </c>
      <c r="Z321" s="349" t="s">
        <v>8</v>
      </c>
      <c r="AA321" s="350" t="s">
        <v>7</v>
      </c>
      <c r="AB321" s="355" t="s">
        <v>405</v>
      </c>
      <c r="AC321" s="352">
        <v>610</v>
      </c>
      <c r="AD321" s="353">
        <f>59239.1+1869.4+4009+4285</f>
        <v>69402.5</v>
      </c>
      <c r="AE321" s="353">
        <f>59239.1+1869.4+4009+4285</f>
        <v>69402.5</v>
      </c>
      <c r="AF321" s="468">
        <v>69398.3</v>
      </c>
      <c r="AG321" s="478">
        <f t="shared" si="88"/>
        <v>0.99993948344800265</v>
      </c>
      <c r="AH321" s="24"/>
      <c r="AI321" s="24"/>
      <c r="AJ321" s="115"/>
    </row>
    <row r="322" spans="1:36" s="65" customFormat="1" ht="32.450000000000003" customHeight="1" x14ac:dyDescent="0.25">
      <c r="A322" s="56"/>
      <c r="B322" s="57"/>
      <c r="C322" s="59"/>
      <c r="D322" s="60"/>
      <c r="E322" s="60"/>
      <c r="F322" s="60"/>
      <c r="G322" s="61"/>
      <c r="H322" s="61"/>
      <c r="I322" s="61"/>
      <c r="J322" s="61"/>
      <c r="K322" s="61"/>
      <c r="L322" s="61"/>
      <c r="M322" s="61"/>
      <c r="N322" s="61"/>
      <c r="O322" s="62"/>
      <c r="P322" s="61"/>
      <c r="Q322" s="63"/>
      <c r="R322" s="64"/>
      <c r="S322" s="64"/>
      <c r="T322" s="64"/>
      <c r="U322" s="64"/>
      <c r="V322" s="64"/>
      <c r="W322" s="64"/>
      <c r="X322" s="347" t="s">
        <v>718</v>
      </c>
      <c r="Y322" s="348" t="s">
        <v>64</v>
      </c>
      <c r="Z322" s="349" t="s">
        <v>8</v>
      </c>
      <c r="AA322" s="350" t="s">
        <v>7</v>
      </c>
      <c r="AB322" s="355" t="s">
        <v>800</v>
      </c>
      <c r="AC322" s="352"/>
      <c r="AD322" s="353">
        <f t="shared" ref="AD322:AF324" si="92">AD323</f>
        <v>200</v>
      </c>
      <c r="AE322" s="353">
        <f t="shared" si="92"/>
        <v>200</v>
      </c>
      <c r="AF322" s="468">
        <f t="shared" si="92"/>
        <v>200</v>
      </c>
      <c r="AG322" s="478">
        <f t="shared" si="88"/>
        <v>1</v>
      </c>
      <c r="AH322" s="24"/>
      <c r="AI322" s="24"/>
      <c r="AJ322" s="115"/>
    </row>
    <row r="323" spans="1:36" s="65" customFormat="1" ht="30" customHeight="1" x14ac:dyDescent="0.25">
      <c r="A323" s="56"/>
      <c r="B323" s="57"/>
      <c r="C323" s="59"/>
      <c r="D323" s="60"/>
      <c r="E323" s="60"/>
      <c r="F323" s="60"/>
      <c r="G323" s="61"/>
      <c r="H323" s="61"/>
      <c r="I323" s="61"/>
      <c r="J323" s="61"/>
      <c r="K323" s="61"/>
      <c r="L323" s="61"/>
      <c r="M323" s="61"/>
      <c r="N323" s="61"/>
      <c r="O323" s="62"/>
      <c r="P323" s="61"/>
      <c r="Q323" s="63"/>
      <c r="R323" s="64"/>
      <c r="S323" s="64"/>
      <c r="T323" s="64"/>
      <c r="U323" s="64"/>
      <c r="V323" s="64"/>
      <c r="W323" s="64"/>
      <c r="X323" s="347" t="s">
        <v>719</v>
      </c>
      <c r="Y323" s="348" t="s">
        <v>64</v>
      </c>
      <c r="Z323" s="349" t="s">
        <v>8</v>
      </c>
      <c r="AA323" s="350" t="s">
        <v>7</v>
      </c>
      <c r="AB323" s="355" t="s">
        <v>801</v>
      </c>
      <c r="AC323" s="352"/>
      <c r="AD323" s="353">
        <f t="shared" si="92"/>
        <v>200</v>
      </c>
      <c r="AE323" s="353">
        <f t="shared" si="92"/>
        <v>200</v>
      </c>
      <c r="AF323" s="468">
        <f t="shared" si="92"/>
        <v>200</v>
      </c>
      <c r="AG323" s="478">
        <f t="shared" si="88"/>
        <v>1</v>
      </c>
      <c r="AH323" s="24"/>
      <c r="AI323" s="24"/>
      <c r="AJ323" s="115"/>
    </row>
    <row r="324" spans="1:36" s="65" customFormat="1" ht="31.5" x14ac:dyDescent="0.25">
      <c r="A324" s="56"/>
      <c r="B324" s="57"/>
      <c r="C324" s="59"/>
      <c r="D324" s="60"/>
      <c r="E324" s="60"/>
      <c r="F324" s="60"/>
      <c r="G324" s="61"/>
      <c r="H324" s="61"/>
      <c r="I324" s="61"/>
      <c r="J324" s="61"/>
      <c r="K324" s="61"/>
      <c r="L324" s="61"/>
      <c r="M324" s="61"/>
      <c r="N324" s="61"/>
      <c r="O324" s="62"/>
      <c r="P324" s="61"/>
      <c r="Q324" s="63"/>
      <c r="R324" s="64"/>
      <c r="S324" s="64"/>
      <c r="T324" s="64"/>
      <c r="U324" s="64"/>
      <c r="V324" s="64"/>
      <c r="W324" s="64"/>
      <c r="X324" s="402" t="s">
        <v>61</v>
      </c>
      <c r="Y324" s="348" t="s">
        <v>64</v>
      </c>
      <c r="Z324" s="349" t="s">
        <v>8</v>
      </c>
      <c r="AA324" s="350" t="s">
        <v>7</v>
      </c>
      <c r="AB324" s="355" t="s">
        <v>801</v>
      </c>
      <c r="AC324" s="352">
        <v>600</v>
      </c>
      <c r="AD324" s="353">
        <f t="shared" si="92"/>
        <v>200</v>
      </c>
      <c r="AE324" s="353">
        <f t="shared" si="92"/>
        <v>200</v>
      </c>
      <c r="AF324" s="468">
        <f t="shared" si="92"/>
        <v>200</v>
      </c>
      <c r="AG324" s="478">
        <f t="shared" si="88"/>
        <v>1</v>
      </c>
      <c r="AH324" s="24"/>
      <c r="AI324" s="24" t="s">
        <v>380</v>
      </c>
      <c r="AJ324" s="115"/>
    </row>
    <row r="325" spans="1:36" s="65" customFormat="1" x14ac:dyDescent="0.25">
      <c r="A325" s="56"/>
      <c r="B325" s="57"/>
      <c r="C325" s="59"/>
      <c r="D325" s="60"/>
      <c r="E325" s="60"/>
      <c r="F325" s="60"/>
      <c r="G325" s="61"/>
      <c r="H325" s="61"/>
      <c r="I325" s="61"/>
      <c r="J325" s="61"/>
      <c r="K325" s="61"/>
      <c r="L325" s="61"/>
      <c r="M325" s="61"/>
      <c r="N325" s="61"/>
      <c r="O325" s="62"/>
      <c r="P325" s="61"/>
      <c r="Q325" s="63"/>
      <c r="R325" s="64"/>
      <c r="S325" s="64"/>
      <c r="T325" s="64"/>
      <c r="U325" s="64"/>
      <c r="V325" s="64"/>
      <c r="W325" s="64"/>
      <c r="X325" s="347" t="s">
        <v>62</v>
      </c>
      <c r="Y325" s="348" t="s">
        <v>64</v>
      </c>
      <c r="Z325" s="349" t="s">
        <v>8</v>
      </c>
      <c r="AA325" s="350" t="s">
        <v>7</v>
      </c>
      <c r="AB325" s="355" t="s">
        <v>801</v>
      </c>
      <c r="AC325" s="352">
        <v>610</v>
      </c>
      <c r="AD325" s="353">
        <v>200</v>
      </c>
      <c r="AE325" s="353">
        <v>200</v>
      </c>
      <c r="AF325" s="468">
        <v>200</v>
      </c>
      <c r="AG325" s="478">
        <f t="shared" si="88"/>
        <v>1</v>
      </c>
      <c r="AH325" s="24"/>
      <c r="AI325" s="24"/>
      <c r="AJ325" s="115"/>
    </row>
    <row r="326" spans="1:36" s="65" customFormat="1" ht="31.5" x14ac:dyDescent="0.25">
      <c r="A326" s="56"/>
      <c r="B326" s="57"/>
      <c r="C326" s="59"/>
      <c r="D326" s="60"/>
      <c r="E326" s="60"/>
      <c r="F326" s="60"/>
      <c r="G326" s="61"/>
      <c r="H326" s="61"/>
      <c r="I326" s="61"/>
      <c r="J326" s="61"/>
      <c r="K326" s="61"/>
      <c r="L326" s="61"/>
      <c r="M326" s="61"/>
      <c r="N326" s="61"/>
      <c r="O326" s="62"/>
      <c r="P326" s="61"/>
      <c r="Q326" s="63"/>
      <c r="R326" s="64"/>
      <c r="S326" s="64"/>
      <c r="T326" s="64"/>
      <c r="U326" s="64"/>
      <c r="V326" s="64"/>
      <c r="W326" s="64"/>
      <c r="X326" s="347" t="s">
        <v>797</v>
      </c>
      <c r="Y326" s="348" t="s">
        <v>64</v>
      </c>
      <c r="Z326" s="349" t="s">
        <v>8</v>
      </c>
      <c r="AA326" s="350" t="s">
        <v>7</v>
      </c>
      <c r="AB326" s="355" t="s">
        <v>799</v>
      </c>
      <c r="AC326" s="352"/>
      <c r="AD326" s="353">
        <f t="shared" ref="AD326:AE328" si="93">AD327</f>
        <v>2130</v>
      </c>
      <c r="AE326" s="353">
        <f t="shared" si="93"/>
        <v>2130</v>
      </c>
      <c r="AF326" s="468">
        <f t="shared" ref="AF326:AF328" si="94">AF327</f>
        <v>2130</v>
      </c>
      <c r="AG326" s="478">
        <f t="shared" si="88"/>
        <v>1</v>
      </c>
      <c r="AH326" s="24"/>
      <c r="AI326" s="24"/>
      <c r="AJ326" s="115"/>
    </row>
    <row r="327" spans="1:36" s="65" customFormat="1" ht="31.5" x14ac:dyDescent="0.25">
      <c r="A327" s="56"/>
      <c r="B327" s="57"/>
      <c r="C327" s="59"/>
      <c r="D327" s="60"/>
      <c r="E327" s="60"/>
      <c r="F327" s="60"/>
      <c r="G327" s="61"/>
      <c r="H327" s="61"/>
      <c r="I327" s="61"/>
      <c r="J327" s="61"/>
      <c r="K327" s="61"/>
      <c r="L327" s="61"/>
      <c r="M327" s="61"/>
      <c r="N327" s="61"/>
      <c r="O327" s="62"/>
      <c r="P327" s="61"/>
      <c r="Q327" s="63"/>
      <c r="R327" s="64"/>
      <c r="S327" s="64"/>
      <c r="T327" s="64"/>
      <c r="U327" s="64"/>
      <c r="V327" s="64"/>
      <c r="W327" s="64"/>
      <c r="X327" s="347" t="s">
        <v>796</v>
      </c>
      <c r="Y327" s="348" t="s">
        <v>64</v>
      </c>
      <c r="Z327" s="349" t="s">
        <v>8</v>
      </c>
      <c r="AA327" s="350" t="s">
        <v>7</v>
      </c>
      <c r="AB327" s="355" t="s">
        <v>798</v>
      </c>
      <c r="AC327" s="352"/>
      <c r="AD327" s="353">
        <f t="shared" si="93"/>
        <v>2130</v>
      </c>
      <c r="AE327" s="353">
        <f t="shared" si="93"/>
        <v>2130</v>
      </c>
      <c r="AF327" s="468">
        <f t="shared" si="94"/>
        <v>2130</v>
      </c>
      <c r="AG327" s="478">
        <f t="shared" si="88"/>
        <v>1</v>
      </c>
      <c r="AH327" s="24"/>
      <c r="AI327" s="24"/>
      <c r="AJ327" s="115"/>
    </row>
    <row r="328" spans="1:36" s="65" customFormat="1" ht="31.5" x14ac:dyDescent="0.25">
      <c r="A328" s="56"/>
      <c r="B328" s="57"/>
      <c r="C328" s="59"/>
      <c r="D328" s="60"/>
      <c r="E328" s="60"/>
      <c r="F328" s="60"/>
      <c r="G328" s="61"/>
      <c r="H328" s="61"/>
      <c r="I328" s="61"/>
      <c r="J328" s="61"/>
      <c r="K328" s="61"/>
      <c r="L328" s="61"/>
      <c r="M328" s="61"/>
      <c r="N328" s="61"/>
      <c r="O328" s="62"/>
      <c r="P328" s="61"/>
      <c r="Q328" s="63"/>
      <c r="R328" s="64"/>
      <c r="S328" s="64"/>
      <c r="T328" s="64"/>
      <c r="U328" s="64"/>
      <c r="V328" s="64"/>
      <c r="W328" s="64"/>
      <c r="X328" s="402" t="s">
        <v>61</v>
      </c>
      <c r="Y328" s="348" t="s">
        <v>64</v>
      </c>
      <c r="Z328" s="349" t="s">
        <v>8</v>
      </c>
      <c r="AA328" s="350" t="s">
        <v>7</v>
      </c>
      <c r="AB328" s="355" t="s">
        <v>798</v>
      </c>
      <c r="AC328" s="352">
        <v>600</v>
      </c>
      <c r="AD328" s="353">
        <f t="shared" si="93"/>
        <v>2130</v>
      </c>
      <c r="AE328" s="353">
        <f t="shared" si="93"/>
        <v>2130</v>
      </c>
      <c r="AF328" s="468">
        <f t="shared" si="94"/>
        <v>2130</v>
      </c>
      <c r="AG328" s="478">
        <f t="shared" si="88"/>
        <v>1</v>
      </c>
      <c r="AH328" s="24"/>
      <c r="AI328" s="24"/>
      <c r="AJ328" s="115"/>
    </row>
    <row r="329" spans="1:36" s="65" customFormat="1" x14ac:dyDescent="0.25">
      <c r="A329" s="56"/>
      <c r="B329" s="57"/>
      <c r="C329" s="59"/>
      <c r="D329" s="60"/>
      <c r="E329" s="60"/>
      <c r="F329" s="60"/>
      <c r="G329" s="61"/>
      <c r="H329" s="61"/>
      <c r="I329" s="61"/>
      <c r="J329" s="61"/>
      <c r="K329" s="61"/>
      <c r="L329" s="61"/>
      <c r="M329" s="61"/>
      <c r="N329" s="61"/>
      <c r="O329" s="62"/>
      <c r="P329" s="61"/>
      <c r="Q329" s="63"/>
      <c r="R329" s="64"/>
      <c r="S329" s="64"/>
      <c r="T329" s="64"/>
      <c r="U329" s="64"/>
      <c r="V329" s="64"/>
      <c r="W329" s="64"/>
      <c r="X329" s="347" t="s">
        <v>62</v>
      </c>
      <c r="Y329" s="348" t="s">
        <v>64</v>
      </c>
      <c r="Z329" s="349" t="s">
        <v>8</v>
      </c>
      <c r="AA329" s="350" t="s">
        <v>7</v>
      </c>
      <c r="AB329" s="355" t="s">
        <v>798</v>
      </c>
      <c r="AC329" s="352">
        <v>610</v>
      </c>
      <c r="AD329" s="353">
        <v>2130</v>
      </c>
      <c r="AE329" s="353">
        <v>2130</v>
      </c>
      <c r="AF329" s="468">
        <v>2130</v>
      </c>
      <c r="AG329" s="478">
        <f t="shared" si="88"/>
        <v>1</v>
      </c>
      <c r="AH329" s="24"/>
      <c r="AI329" s="24"/>
      <c r="AJ329" s="115"/>
    </row>
    <row r="330" spans="1:36" x14ac:dyDescent="0.25">
      <c r="B330" s="66"/>
      <c r="C330" s="67"/>
      <c r="D330" s="67"/>
      <c r="E330" s="14"/>
      <c r="F330" s="14"/>
      <c r="G330" s="68"/>
      <c r="H330" s="68"/>
      <c r="I330" s="68"/>
      <c r="J330" s="68"/>
      <c r="K330" s="68"/>
      <c r="L330" s="61"/>
      <c r="M330" s="68"/>
      <c r="N330" s="61"/>
      <c r="P330" s="68"/>
      <c r="Q330" s="69"/>
      <c r="R330" s="19"/>
      <c r="S330" s="19"/>
      <c r="T330" s="19"/>
      <c r="U330" s="19"/>
      <c r="V330" s="19"/>
      <c r="W330" s="19"/>
      <c r="X330" s="347" t="s">
        <v>136</v>
      </c>
      <c r="Y330" s="348" t="s">
        <v>64</v>
      </c>
      <c r="Z330" s="349" t="s">
        <v>8</v>
      </c>
      <c r="AA330" s="350" t="s">
        <v>8</v>
      </c>
      <c r="AB330" s="351"/>
      <c r="AC330" s="352"/>
      <c r="AD330" s="353">
        <f>AD331+AD337</f>
        <v>996.2</v>
      </c>
      <c r="AE330" s="353">
        <f>AE331+AE337</f>
        <v>996.2</v>
      </c>
      <c r="AF330" s="468">
        <f>AF331+AF337</f>
        <v>995.8</v>
      </c>
      <c r="AG330" s="478">
        <f t="shared" si="88"/>
        <v>0.99959847420196735</v>
      </c>
      <c r="AH330" s="24"/>
      <c r="AI330" s="24"/>
      <c r="AJ330" s="115"/>
    </row>
    <row r="331" spans="1:36" ht="31.5" x14ac:dyDescent="0.25">
      <c r="B331" s="66"/>
      <c r="C331" s="67"/>
      <c r="D331" s="67"/>
      <c r="E331" s="14"/>
      <c r="F331" s="14"/>
      <c r="G331" s="68"/>
      <c r="H331" s="68"/>
      <c r="I331" s="68"/>
      <c r="J331" s="68"/>
      <c r="K331" s="68"/>
      <c r="L331" s="61"/>
      <c r="M331" s="68"/>
      <c r="N331" s="61"/>
      <c r="P331" s="68"/>
      <c r="Q331" s="69"/>
      <c r="R331" s="19"/>
      <c r="S331" s="19"/>
      <c r="T331" s="19"/>
      <c r="U331" s="19"/>
      <c r="V331" s="19"/>
      <c r="W331" s="19"/>
      <c r="X331" s="354" t="s">
        <v>163</v>
      </c>
      <c r="Y331" s="348" t="s">
        <v>64</v>
      </c>
      <c r="Z331" s="349" t="s">
        <v>8</v>
      </c>
      <c r="AA331" s="350" t="s">
        <v>8</v>
      </c>
      <c r="AB331" s="351" t="s">
        <v>103</v>
      </c>
      <c r="AC331" s="352"/>
      <c r="AD331" s="353">
        <f t="shared" ref="AD331:AF332" si="95">AD332</f>
        <v>288</v>
      </c>
      <c r="AE331" s="353">
        <f t="shared" si="95"/>
        <v>288</v>
      </c>
      <c r="AF331" s="468">
        <f t="shared" si="95"/>
        <v>288</v>
      </c>
      <c r="AG331" s="478">
        <f t="shared" si="88"/>
        <v>1</v>
      </c>
      <c r="AH331" s="24"/>
      <c r="AI331" s="24"/>
      <c r="AJ331" s="115"/>
    </row>
    <row r="332" spans="1:36" x14ac:dyDescent="0.25">
      <c r="B332" s="66"/>
      <c r="C332" s="67"/>
      <c r="D332" s="67"/>
      <c r="E332" s="14"/>
      <c r="F332" s="14"/>
      <c r="G332" s="68"/>
      <c r="H332" s="68"/>
      <c r="I332" s="68"/>
      <c r="J332" s="68"/>
      <c r="K332" s="68"/>
      <c r="L332" s="61"/>
      <c r="M332" s="68"/>
      <c r="N332" s="61"/>
      <c r="P332" s="68"/>
      <c r="Q332" s="69"/>
      <c r="R332" s="19"/>
      <c r="S332" s="19"/>
      <c r="T332" s="19"/>
      <c r="U332" s="19"/>
      <c r="V332" s="19"/>
      <c r="W332" s="19"/>
      <c r="X332" s="354" t="s">
        <v>164</v>
      </c>
      <c r="Y332" s="348" t="s">
        <v>64</v>
      </c>
      <c r="Z332" s="349" t="s">
        <v>8</v>
      </c>
      <c r="AA332" s="350" t="s">
        <v>8</v>
      </c>
      <c r="AB332" s="351" t="s">
        <v>107</v>
      </c>
      <c r="AC332" s="352"/>
      <c r="AD332" s="353">
        <f t="shared" si="95"/>
        <v>288</v>
      </c>
      <c r="AE332" s="353">
        <f t="shared" si="95"/>
        <v>288</v>
      </c>
      <c r="AF332" s="468">
        <f t="shared" si="95"/>
        <v>288</v>
      </c>
      <c r="AG332" s="478">
        <f t="shared" si="88"/>
        <v>1</v>
      </c>
      <c r="AH332" s="24"/>
      <c r="AI332" s="24"/>
      <c r="AJ332" s="115"/>
    </row>
    <row r="333" spans="1:36" ht="31.5" x14ac:dyDescent="0.25">
      <c r="B333" s="66"/>
      <c r="C333" s="67"/>
      <c r="D333" s="67"/>
      <c r="E333" s="14"/>
      <c r="F333" s="14"/>
      <c r="G333" s="68"/>
      <c r="H333" s="68"/>
      <c r="I333" s="68"/>
      <c r="J333" s="68"/>
      <c r="K333" s="68"/>
      <c r="L333" s="61"/>
      <c r="M333" s="68"/>
      <c r="N333" s="61"/>
      <c r="P333" s="68"/>
      <c r="Q333" s="69"/>
      <c r="R333" s="19"/>
      <c r="S333" s="19"/>
      <c r="T333" s="19"/>
      <c r="U333" s="19"/>
      <c r="V333" s="19"/>
      <c r="W333" s="19"/>
      <c r="X333" s="403" t="s">
        <v>565</v>
      </c>
      <c r="Y333" s="348" t="s">
        <v>64</v>
      </c>
      <c r="Z333" s="349" t="s">
        <v>8</v>
      </c>
      <c r="AA333" s="350" t="s">
        <v>8</v>
      </c>
      <c r="AB333" s="355" t="s">
        <v>165</v>
      </c>
      <c r="AC333" s="352"/>
      <c r="AD333" s="353">
        <f t="shared" ref="AD333:AF334" si="96">AD334</f>
        <v>288</v>
      </c>
      <c r="AE333" s="353">
        <f t="shared" si="96"/>
        <v>288</v>
      </c>
      <c r="AF333" s="468">
        <f t="shared" si="96"/>
        <v>288</v>
      </c>
      <c r="AG333" s="478">
        <f t="shared" si="88"/>
        <v>1</v>
      </c>
      <c r="AH333" s="24"/>
      <c r="AI333" s="24"/>
      <c r="AJ333" s="115"/>
    </row>
    <row r="334" spans="1:36" ht="33.6" customHeight="1" x14ac:dyDescent="0.25">
      <c r="B334" s="66"/>
      <c r="C334" s="67"/>
      <c r="D334" s="67"/>
      <c r="E334" s="14"/>
      <c r="F334" s="14"/>
      <c r="G334" s="68"/>
      <c r="H334" s="68"/>
      <c r="I334" s="68"/>
      <c r="J334" s="68"/>
      <c r="K334" s="68"/>
      <c r="L334" s="61"/>
      <c r="M334" s="68"/>
      <c r="N334" s="61"/>
      <c r="P334" s="68"/>
      <c r="Q334" s="69"/>
      <c r="R334" s="19"/>
      <c r="S334" s="19"/>
      <c r="T334" s="19"/>
      <c r="U334" s="19"/>
      <c r="V334" s="19"/>
      <c r="W334" s="19"/>
      <c r="X334" s="354" t="s">
        <v>645</v>
      </c>
      <c r="Y334" s="348" t="s">
        <v>64</v>
      </c>
      <c r="Z334" s="349" t="s">
        <v>8</v>
      </c>
      <c r="AA334" s="350" t="s">
        <v>8</v>
      </c>
      <c r="AB334" s="355" t="s">
        <v>646</v>
      </c>
      <c r="AC334" s="352"/>
      <c r="AD334" s="353">
        <f t="shared" si="96"/>
        <v>288</v>
      </c>
      <c r="AE334" s="353">
        <f t="shared" si="96"/>
        <v>288</v>
      </c>
      <c r="AF334" s="468">
        <f t="shared" si="96"/>
        <v>288</v>
      </c>
      <c r="AG334" s="478">
        <f t="shared" si="88"/>
        <v>1</v>
      </c>
      <c r="AH334" s="24"/>
      <c r="AI334" s="24"/>
      <c r="AJ334" s="115"/>
    </row>
    <row r="335" spans="1:36" x14ac:dyDescent="0.25">
      <c r="B335" s="66"/>
      <c r="C335" s="67"/>
      <c r="D335" s="67"/>
      <c r="E335" s="14"/>
      <c r="F335" s="14"/>
      <c r="G335" s="68"/>
      <c r="H335" s="68"/>
      <c r="I335" s="68"/>
      <c r="J335" s="68"/>
      <c r="K335" s="68"/>
      <c r="L335" s="61"/>
      <c r="M335" s="68"/>
      <c r="N335" s="61"/>
      <c r="P335" s="68"/>
      <c r="Q335" s="69"/>
      <c r="R335" s="19"/>
      <c r="S335" s="19"/>
      <c r="T335" s="19"/>
      <c r="U335" s="19"/>
      <c r="V335" s="19"/>
      <c r="W335" s="19"/>
      <c r="X335" s="347" t="s">
        <v>121</v>
      </c>
      <c r="Y335" s="348" t="s">
        <v>64</v>
      </c>
      <c r="Z335" s="349" t="s">
        <v>8</v>
      </c>
      <c r="AA335" s="350" t="s">
        <v>8</v>
      </c>
      <c r="AB335" s="355" t="s">
        <v>646</v>
      </c>
      <c r="AC335" s="357">
        <v>200</v>
      </c>
      <c r="AD335" s="353">
        <f>AD336</f>
        <v>288</v>
      </c>
      <c r="AE335" s="353">
        <f>AE336</f>
        <v>288</v>
      </c>
      <c r="AF335" s="468">
        <f>AF336</f>
        <v>288</v>
      </c>
      <c r="AG335" s="478">
        <f t="shared" si="88"/>
        <v>1</v>
      </c>
      <c r="AH335" s="24"/>
      <c r="AI335" s="24"/>
      <c r="AJ335" s="115"/>
    </row>
    <row r="336" spans="1:36" ht="31.5" x14ac:dyDescent="0.25">
      <c r="B336" s="66"/>
      <c r="C336" s="67"/>
      <c r="D336" s="67"/>
      <c r="E336" s="14"/>
      <c r="F336" s="14"/>
      <c r="G336" s="68"/>
      <c r="H336" s="68"/>
      <c r="I336" s="68"/>
      <c r="J336" s="68"/>
      <c r="K336" s="68"/>
      <c r="L336" s="61"/>
      <c r="M336" s="68"/>
      <c r="N336" s="61"/>
      <c r="P336" s="68"/>
      <c r="Q336" s="69"/>
      <c r="R336" s="19"/>
      <c r="S336" s="19"/>
      <c r="T336" s="19"/>
      <c r="U336" s="19"/>
      <c r="V336" s="19"/>
      <c r="W336" s="19"/>
      <c r="X336" s="347" t="s">
        <v>52</v>
      </c>
      <c r="Y336" s="348" t="s">
        <v>64</v>
      </c>
      <c r="Z336" s="349" t="s">
        <v>8</v>
      </c>
      <c r="AA336" s="350" t="s">
        <v>8</v>
      </c>
      <c r="AB336" s="355" t="s">
        <v>646</v>
      </c>
      <c r="AC336" s="357">
        <v>240</v>
      </c>
      <c r="AD336" s="353">
        <f>295.2-7.2</f>
        <v>288</v>
      </c>
      <c r="AE336" s="353">
        <f>295.2-7.2</f>
        <v>288</v>
      </c>
      <c r="AF336" s="468">
        <v>288</v>
      </c>
      <c r="AG336" s="478">
        <f t="shared" si="88"/>
        <v>1</v>
      </c>
      <c r="AH336" s="24"/>
      <c r="AI336" s="24"/>
      <c r="AJ336" s="115"/>
    </row>
    <row r="337" spans="1:36" ht="31.5" x14ac:dyDescent="0.25">
      <c r="A337" s="73"/>
      <c r="B337" s="66"/>
      <c r="C337" s="66"/>
      <c r="D337" s="66"/>
      <c r="E337" s="14"/>
      <c r="F337" s="67"/>
      <c r="G337" s="68"/>
      <c r="H337" s="3"/>
      <c r="L337" s="68"/>
      <c r="N337" s="68"/>
      <c r="Q337" s="69"/>
      <c r="R337" s="19"/>
      <c r="S337" s="19"/>
      <c r="T337" s="19"/>
      <c r="U337" s="19"/>
      <c r="V337" s="19"/>
      <c r="X337" s="356" t="s">
        <v>306</v>
      </c>
      <c r="Y337" s="348" t="s">
        <v>64</v>
      </c>
      <c r="Z337" s="349" t="s">
        <v>8</v>
      </c>
      <c r="AA337" s="350" t="s">
        <v>8</v>
      </c>
      <c r="AB337" s="355" t="s">
        <v>132</v>
      </c>
      <c r="AC337" s="357"/>
      <c r="AD337" s="353">
        <f t="shared" ref="AD337:AF341" si="97">AD338</f>
        <v>708.2</v>
      </c>
      <c r="AE337" s="353">
        <f t="shared" si="97"/>
        <v>708.2</v>
      </c>
      <c r="AF337" s="468">
        <f t="shared" si="97"/>
        <v>707.8</v>
      </c>
      <c r="AG337" s="478">
        <f t="shared" si="88"/>
        <v>0.99943518780005636</v>
      </c>
      <c r="AH337" s="24"/>
      <c r="AI337" s="24"/>
      <c r="AJ337" s="115"/>
    </row>
    <row r="338" spans="1:36" x14ac:dyDescent="0.25">
      <c r="A338" s="73"/>
      <c r="B338" s="66"/>
      <c r="C338" s="66"/>
      <c r="D338" s="66"/>
      <c r="E338" s="14"/>
      <c r="F338" s="67"/>
      <c r="G338" s="68"/>
      <c r="H338" s="3"/>
      <c r="L338" s="68"/>
      <c r="N338" s="68"/>
      <c r="Q338" s="69"/>
      <c r="R338" s="19"/>
      <c r="S338" s="19"/>
      <c r="T338" s="19"/>
      <c r="U338" s="19"/>
      <c r="V338" s="19"/>
      <c r="X338" s="356" t="s">
        <v>315</v>
      </c>
      <c r="Y338" s="348" t="s">
        <v>64</v>
      </c>
      <c r="Z338" s="387" t="s">
        <v>8</v>
      </c>
      <c r="AA338" s="388" t="s">
        <v>8</v>
      </c>
      <c r="AB338" s="355" t="s">
        <v>316</v>
      </c>
      <c r="AC338" s="357"/>
      <c r="AD338" s="353">
        <f>AD339</f>
        <v>708.2</v>
      </c>
      <c r="AE338" s="353">
        <f>AE339</f>
        <v>708.2</v>
      </c>
      <c r="AF338" s="468">
        <f t="shared" si="97"/>
        <v>707.8</v>
      </c>
      <c r="AG338" s="478">
        <f t="shared" si="88"/>
        <v>0.99943518780005636</v>
      </c>
      <c r="AH338" s="24"/>
      <c r="AI338" s="24"/>
      <c r="AJ338" s="115"/>
    </row>
    <row r="339" spans="1:36" x14ac:dyDescent="0.25">
      <c r="A339" s="73"/>
      <c r="B339" s="66"/>
      <c r="C339" s="66"/>
      <c r="D339" s="66"/>
      <c r="E339" s="14"/>
      <c r="F339" s="67"/>
      <c r="G339" s="68"/>
      <c r="H339" s="3"/>
      <c r="L339" s="68"/>
      <c r="N339" s="68"/>
      <c r="Q339" s="69"/>
      <c r="R339" s="19"/>
      <c r="S339" s="19"/>
      <c r="T339" s="19"/>
      <c r="U339" s="19"/>
      <c r="V339" s="19"/>
      <c r="X339" s="374" t="s">
        <v>551</v>
      </c>
      <c r="Y339" s="348" t="s">
        <v>64</v>
      </c>
      <c r="Z339" s="387" t="s">
        <v>8</v>
      </c>
      <c r="AA339" s="388" t="s">
        <v>8</v>
      </c>
      <c r="AB339" s="355" t="s">
        <v>317</v>
      </c>
      <c r="AC339" s="357"/>
      <c r="AD339" s="353">
        <f t="shared" si="97"/>
        <v>708.2</v>
      </c>
      <c r="AE339" s="353">
        <f t="shared" si="97"/>
        <v>708.2</v>
      </c>
      <c r="AF339" s="468">
        <f t="shared" si="97"/>
        <v>707.8</v>
      </c>
      <c r="AG339" s="478">
        <f t="shared" si="88"/>
        <v>0.99943518780005636</v>
      </c>
      <c r="AH339" s="24"/>
      <c r="AI339" s="24"/>
      <c r="AJ339" s="115"/>
    </row>
    <row r="340" spans="1:36" ht="31.5" x14ac:dyDescent="0.25">
      <c r="A340" s="73"/>
      <c r="B340" s="66"/>
      <c r="C340" s="66"/>
      <c r="D340" s="66"/>
      <c r="E340" s="14"/>
      <c r="F340" s="67"/>
      <c r="G340" s="68"/>
      <c r="H340" s="3"/>
      <c r="L340" s="68"/>
      <c r="N340" s="68"/>
      <c r="Q340" s="69"/>
      <c r="R340" s="19"/>
      <c r="S340" s="19"/>
      <c r="T340" s="19"/>
      <c r="U340" s="19"/>
      <c r="V340" s="19"/>
      <c r="X340" s="365" t="s">
        <v>318</v>
      </c>
      <c r="Y340" s="348" t="s">
        <v>64</v>
      </c>
      <c r="Z340" s="349" t="s">
        <v>8</v>
      </c>
      <c r="AA340" s="350" t="s">
        <v>8</v>
      </c>
      <c r="AB340" s="355" t="s">
        <v>319</v>
      </c>
      <c r="AC340" s="357"/>
      <c r="AD340" s="353">
        <f>AD341+AD343</f>
        <v>708.2</v>
      </c>
      <c r="AE340" s="353">
        <f>AE341+AE343</f>
        <v>708.2</v>
      </c>
      <c r="AF340" s="468">
        <f>AF341+AF343</f>
        <v>707.8</v>
      </c>
      <c r="AG340" s="478">
        <f t="shared" si="88"/>
        <v>0.99943518780005636</v>
      </c>
      <c r="AH340" s="24"/>
      <c r="AI340" s="24"/>
      <c r="AJ340" s="115"/>
    </row>
    <row r="341" spans="1:36" x14ac:dyDescent="0.25">
      <c r="A341" s="73"/>
      <c r="B341" s="66"/>
      <c r="C341" s="66"/>
      <c r="D341" s="66"/>
      <c r="E341" s="14"/>
      <c r="F341" s="67"/>
      <c r="G341" s="68"/>
      <c r="H341" s="3"/>
      <c r="L341" s="68"/>
      <c r="N341" s="68"/>
      <c r="Q341" s="69"/>
      <c r="R341" s="19"/>
      <c r="S341" s="19"/>
      <c r="T341" s="19"/>
      <c r="U341" s="19"/>
      <c r="V341" s="19"/>
      <c r="X341" s="347" t="s">
        <v>121</v>
      </c>
      <c r="Y341" s="348" t="s">
        <v>64</v>
      </c>
      <c r="Z341" s="387" t="s">
        <v>8</v>
      </c>
      <c r="AA341" s="388" t="s">
        <v>8</v>
      </c>
      <c r="AB341" s="355" t="s">
        <v>319</v>
      </c>
      <c r="AC341" s="357">
        <v>200</v>
      </c>
      <c r="AD341" s="353">
        <f t="shared" si="97"/>
        <v>350</v>
      </c>
      <c r="AE341" s="353">
        <f t="shared" si="97"/>
        <v>350</v>
      </c>
      <c r="AF341" s="468">
        <f t="shared" si="97"/>
        <v>349.6</v>
      </c>
      <c r="AG341" s="478">
        <f t="shared" si="88"/>
        <v>0.99885714285714289</v>
      </c>
      <c r="AH341" s="24"/>
      <c r="AI341" s="24"/>
      <c r="AJ341" s="115"/>
    </row>
    <row r="342" spans="1:36" ht="31.5" x14ac:dyDescent="0.25">
      <c r="A342" s="73"/>
      <c r="B342" s="66"/>
      <c r="C342" s="66"/>
      <c r="D342" s="66"/>
      <c r="E342" s="14"/>
      <c r="F342" s="67"/>
      <c r="G342" s="68"/>
      <c r="H342" s="3"/>
      <c r="L342" s="68"/>
      <c r="N342" s="68"/>
      <c r="Q342" s="69"/>
      <c r="R342" s="19"/>
      <c r="S342" s="19"/>
      <c r="T342" s="19"/>
      <c r="U342" s="19"/>
      <c r="V342" s="19"/>
      <c r="X342" s="347" t="s">
        <v>52</v>
      </c>
      <c r="Y342" s="348" t="s">
        <v>64</v>
      </c>
      <c r="Z342" s="387" t="s">
        <v>8</v>
      </c>
      <c r="AA342" s="388" t="s">
        <v>8</v>
      </c>
      <c r="AB342" s="355" t="s">
        <v>319</v>
      </c>
      <c r="AC342" s="357">
        <v>240</v>
      </c>
      <c r="AD342" s="353">
        <f>319.3+150.7-120</f>
        <v>350</v>
      </c>
      <c r="AE342" s="353">
        <f>319.3+150.7-120</f>
        <v>350</v>
      </c>
      <c r="AF342" s="468">
        <v>349.6</v>
      </c>
      <c r="AG342" s="478">
        <f t="shared" si="88"/>
        <v>0.99885714285714289</v>
      </c>
      <c r="AH342" s="24"/>
      <c r="AI342" s="24"/>
      <c r="AJ342" s="115"/>
    </row>
    <row r="343" spans="1:36" ht="31.5" x14ac:dyDescent="0.25">
      <c r="A343" s="73"/>
      <c r="B343" s="66"/>
      <c r="C343" s="66"/>
      <c r="D343" s="66"/>
      <c r="E343" s="14"/>
      <c r="F343" s="67"/>
      <c r="G343" s="68"/>
      <c r="H343" s="3"/>
      <c r="L343" s="68"/>
      <c r="N343" s="68"/>
      <c r="Q343" s="69"/>
      <c r="R343" s="19"/>
      <c r="S343" s="19"/>
      <c r="T343" s="19"/>
      <c r="U343" s="19"/>
      <c r="V343" s="19"/>
      <c r="X343" s="347" t="s">
        <v>61</v>
      </c>
      <c r="Y343" s="348" t="s">
        <v>64</v>
      </c>
      <c r="Z343" s="387" t="s">
        <v>8</v>
      </c>
      <c r="AA343" s="388" t="s">
        <v>8</v>
      </c>
      <c r="AB343" s="355" t="s">
        <v>319</v>
      </c>
      <c r="AC343" s="357">
        <v>600</v>
      </c>
      <c r="AD343" s="353">
        <f>AD344</f>
        <v>358.2</v>
      </c>
      <c r="AE343" s="353">
        <f>AE344</f>
        <v>358.2</v>
      </c>
      <c r="AF343" s="468">
        <f>AF344</f>
        <v>358.2</v>
      </c>
      <c r="AG343" s="478">
        <f t="shared" si="88"/>
        <v>1</v>
      </c>
      <c r="AH343" s="24"/>
      <c r="AI343" s="24"/>
      <c r="AJ343" s="115"/>
    </row>
    <row r="344" spans="1:36" x14ac:dyDescent="0.25">
      <c r="A344" s="73"/>
      <c r="B344" s="66"/>
      <c r="C344" s="66"/>
      <c r="D344" s="66"/>
      <c r="E344" s="14"/>
      <c r="F344" s="67"/>
      <c r="G344" s="68"/>
      <c r="H344" s="3"/>
      <c r="L344" s="68"/>
      <c r="N344" s="68"/>
      <c r="Q344" s="69"/>
      <c r="R344" s="19"/>
      <c r="S344" s="19"/>
      <c r="T344" s="19"/>
      <c r="U344" s="19"/>
      <c r="V344" s="19"/>
      <c r="X344" s="347" t="s">
        <v>62</v>
      </c>
      <c r="Y344" s="348" t="s">
        <v>64</v>
      </c>
      <c r="Z344" s="387" t="s">
        <v>8</v>
      </c>
      <c r="AA344" s="388" t="s">
        <v>8</v>
      </c>
      <c r="AB344" s="355" t="s">
        <v>319</v>
      </c>
      <c r="AC344" s="357">
        <v>610</v>
      </c>
      <c r="AD344" s="353">
        <f>406.5-150.7+120-17.6</f>
        <v>358.2</v>
      </c>
      <c r="AE344" s="353">
        <f>406.5-150.7+120-17.6</f>
        <v>358.2</v>
      </c>
      <c r="AF344" s="468">
        <v>358.2</v>
      </c>
      <c r="AG344" s="478">
        <f t="shared" si="88"/>
        <v>1</v>
      </c>
      <c r="AH344" s="24"/>
      <c r="AI344" s="24"/>
      <c r="AJ344" s="115"/>
    </row>
    <row r="345" spans="1:36" x14ac:dyDescent="0.25">
      <c r="A345" s="73"/>
      <c r="B345" s="66"/>
      <c r="C345" s="66"/>
      <c r="D345" s="66"/>
      <c r="E345" s="14"/>
      <c r="F345" s="67"/>
      <c r="G345" s="68"/>
      <c r="H345" s="3"/>
      <c r="L345" s="68"/>
      <c r="N345" s="68"/>
      <c r="Q345" s="69"/>
      <c r="R345" s="19"/>
      <c r="S345" s="19"/>
      <c r="T345" s="19"/>
      <c r="U345" s="19"/>
      <c r="V345" s="19"/>
      <c r="X345" s="347" t="s">
        <v>38</v>
      </c>
      <c r="Y345" s="348" t="s">
        <v>64</v>
      </c>
      <c r="Z345" s="349" t="s">
        <v>8</v>
      </c>
      <c r="AA345" s="350" t="s">
        <v>22</v>
      </c>
      <c r="AB345" s="351"/>
      <c r="AC345" s="357"/>
      <c r="AD345" s="353">
        <f>AD347</f>
        <v>2270.7000000000003</v>
      </c>
      <c r="AE345" s="353">
        <f>AE347</f>
        <v>2270.7000000000003</v>
      </c>
      <c r="AF345" s="353">
        <f>AF347</f>
        <v>2270.7000000000003</v>
      </c>
      <c r="AG345" s="478">
        <f t="shared" si="88"/>
        <v>1</v>
      </c>
      <c r="AH345" s="24"/>
      <c r="AI345" s="24"/>
      <c r="AJ345" s="115"/>
    </row>
    <row r="346" spans="1:36" x14ac:dyDescent="0.25">
      <c r="A346" s="73"/>
      <c r="B346" s="66"/>
      <c r="C346" s="66"/>
      <c r="D346" s="66"/>
      <c r="E346" s="14"/>
      <c r="F346" s="67"/>
      <c r="G346" s="68"/>
      <c r="H346" s="3"/>
      <c r="L346" s="68"/>
      <c r="N346" s="68"/>
      <c r="Q346" s="69"/>
      <c r="R346" s="19"/>
      <c r="S346" s="19"/>
      <c r="T346" s="19"/>
      <c r="U346" s="19"/>
      <c r="V346" s="19"/>
      <c r="X346" s="354" t="s">
        <v>300</v>
      </c>
      <c r="Y346" s="348" t="s">
        <v>64</v>
      </c>
      <c r="Z346" s="349" t="s">
        <v>8</v>
      </c>
      <c r="AA346" s="350" t="s">
        <v>22</v>
      </c>
      <c r="AB346" s="355" t="s">
        <v>110</v>
      </c>
      <c r="AC346" s="357"/>
      <c r="AD346" s="353">
        <f t="shared" ref="AD346:AF349" si="98">AD347</f>
        <v>2270.7000000000003</v>
      </c>
      <c r="AE346" s="353">
        <f t="shared" si="98"/>
        <v>2270.7000000000003</v>
      </c>
      <c r="AF346" s="468">
        <f t="shared" si="98"/>
        <v>2270.7000000000003</v>
      </c>
      <c r="AG346" s="478">
        <f t="shared" si="88"/>
        <v>1</v>
      </c>
      <c r="AH346" s="24"/>
      <c r="AI346" s="24"/>
      <c r="AJ346" s="115"/>
    </row>
    <row r="347" spans="1:36" x14ac:dyDescent="0.25">
      <c r="A347" s="73"/>
      <c r="B347" s="66"/>
      <c r="C347" s="66"/>
      <c r="D347" s="66"/>
      <c r="E347" s="14"/>
      <c r="F347" s="67"/>
      <c r="G347" s="68"/>
      <c r="H347" s="3"/>
      <c r="L347" s="61"/>
      <c r="N347" s="61"/>
      <c r="Q347" s="69"/>
      <c r="R347" s="19"/>
      <c r="S347" s="19"/>
      <c r="T347" s="19"/>
      <c r="U347" s="19"/>
      <c r="V347" s="19"/>
      <c r="X347" s="354" t="s">
        <v>304</v>
      </c>
      <c r="Y347" s="348" t="s">
        <v>64</v>
      </c>
      <c r="Z347" s="349" t="s">
        <v>8</v>
      </c>
      <c r="AA347" s="350" t="s">
        <v>22</v>
      </c>
      <c r="AB347" s="355" t="s">
        <v>111</v>
      </c>
      <c r="AC347" s="357"/>
      <c r="AD347" s="353">
        <f t="shared" si="98"/>
        <v>2270.7000000000003</v>
      </c>
      <c r="AE347" s="353">
        <f t="shared" si="98"/>
        <v>2270.7000000000003</v>
      </c>
      <c r="AF347" s="468">
        <f t="shared" si="98"/>
        <v>2270.7000000000003</v>
      </c>
      <c r="AG347" s="478">
        <f t="shared" si="88"/>
        <v>1</v>
      </c>
      <c r="AH347" s="24"/>
      <c r="AI347" s="24"/>
      <c r="AJ347" s="115"/>
    </row>
    <row r="348" spans="1:36" x14ac:dyDescent="0.25">
      <c r="A348" s="73"/>
      <c r="B348" s="66"/>
      <c r="C348" s="66"/>
      <c r="D348" s="66"/>
      <c r="E348" s="14"/>
      <c r="F348" s="67"/>
      <c r="G348" s="68"/>
      <c r="H348" s="3"/>
      <c r="L348" s="61"/>
      <c r="N348" s="61"/>
      <c r="Q348" s="69"/>
      <c r="R348" s="19"/>
      <c r="S348" s="19"/>
      <c r="T348" s="19"/>
      <c r="U348" s="19"/>
      <c r="V348" s="19"/>
      <c r="X348" s="403" t="s">
        <v>539</v>
      </c>
      <c r="Y348" s="348" t="s">
        <v>64</v>
      </c>
      <c r="Z348" s="349" t="s">
        <v>8</v>
      </c>
      <c r="AA348" s="350" t="s">
        <v>22</v>
      </c>
      <c r="AB348" s="355" t="s">
        <v>538</v>
      </c>
      <c r="AC348" s="357"/>
      <c r="AD348" s="353">
        <f t="shared" si="98"/>
        <v>2270.7000000000003</v>
      </c>
      <c r="AE348" s="353">
        <f t="shared" si="98"/>
        <v>2270.7000000000003</v>
      </c>
      <c r="AF348" s="468">
        <f t="shared" si="98"/>
        <v>2270.7000000000003</v>
      </c>
      <c r="AG348" s="478">
        <f t="shared" si="88"/>
        <v>1</v>
      </c>
      <c r="AH348" s="24"/>
      <c r="AI348" s="24"/>
      <c r="AJ348" s="115"/>
    </row>
    <row r="349" spans="1:36" x14ac:dyDescent="0.25">
      <c r="A349" s="73"/>
      <c r="B349" s="66"/>
      <c r="C349" s="66"/>
      <c r="D349" s="66"/>
      <c r="E349" s="14"/>
      <c r="F349" s="67"/>
      <c r="G349" s="68"/>
      <c r="H349" s="3"/>
      <c r="L349" s="61"/>
      <c r="N349" s="61"/>
      <c r="Q349" s="69"/>
      <c r="R349" s="19"/>
      <c r="S349" s="19"/>
      <c r="T349" s="19"/>
      <c r="U349" s="19"/>
      <c r="V349" s="19"/>
      <c r="X349" s="368" t="s">
        <v>305</v>
      </c>
      <c r="Y349" s="348" t="s">
        <v>64</v>
      </c>
      <c r="Z349" s="349" t="s">
        <v>8</v>
      </c>
      <c r="AA349" s="350" t="s">
        <v>22</v>
      </c>
      <c r="AB349" s="355" t="s">
        <v>540</v>
      </c>
      <c r="AC349" s="357"/>
      <c r="AD349" s="353">
        <f t="shared" si="98"/>
        <v>2270.7000000000003</v>
      </c>
      <c r="AE349" s="353">
        <f t="shared" si="98"/>
        <v>2270.7000000000003</v>
      </c>
      <c r="AF349" s="353">
        <f t="shared" si="98"/>
        <v>2270.7000000000003</v>
      </c>
      <c r="AG349" s="478">
        <f t="shared" si="88"/>
        <v>1</v>
      </c>
      <c r="AH349" s="24"/>
      <c r="AI349" s="24"/>
      <c r="AJ349" s="115"/>
    </row>
    <row r="350" spans="1:36" ht="47.25" x14ac:dyDescent="0.25">
      <c r="A350" s="73"/>
      <c r="B350" s="66"/>
      <c r="C350" s="66"/>
      <c r="D350" s="66"/>
      <c r="E350" s="14"/>
      <c r="F350" s="67"/>
      <c r="G350" s="68"/>
      <c r="H350" s="3"/>
      <c r="L350" s="61"/>
      <c r="N350" s="61"/>
      <c r="Q350" s="69"/>
      <c r="R350" s="19"/>
      <c r="S350" s="19"/>
      <c r="T350" s="19"/>
      <c r="U350" s="19"/>
      <c r="V350" s="19"/>
      <c r="X350" s="368" t="s">
        <v>326</v>
      </c>
      <c r="Y350" s="348" t="s">
        <v>64</v>
      </c>
      <c r="Z350" s="349" t="s">
        <v>8</v>
      </c>
      <c r="AA350" s="350" t="s">
        <v>22</v>
      </c>
      <c r="AB350" s="355" t="s">
        <v>541</v>
      </c>
      <c r="AC350" s="357"/>
      <c r="AD350" s="353">
        <f>AD353+AD351+AD355</f>
        <v>2270.7000000000003</v>
      </c>
      <c r="AE350" s="353">
        <f t="shared" ref="AE350:AF350" si="99">AE353+AE351+AE355</f>
        <v>2270.7000000000003</v>
      </c>
      <c r="AF350" s="353">
        <f t="shared" si="99"/>
        <v>2270.7000000000003</v>
      </c>
      <c r="AG350" s="478">
        <f t="shared" si="88"/>
        <v>1</v>
      </c>
      <c r="AH350" s="24"/>
      <c r="AI350" s="24"/>
      <c r="AJ350" s="115"/>
    </row>
    <row r="351" spans="1:36" x14ac:dyDescent="0.25">
      <c r="A351" s="73"/>
      <c r="B351" s="66"/>
      <c r="C351" s="66"/>
      <c r="D351" s="66"/>
      <c r="E351" s="14"/>
      <c r="F351" s="67"/>
      <c r="G351" s="68"/>
      <c r="H351" s="3"/>
      <c r="L351" s="61"/>
      <c r="N351" s="61"/>
      <c r="Q351" s="69"/>
      <c r="R351" s="19"/>
      <c r="S351" s="19"/>
      <c r="T351" s="19"/>
      <c r="U351" s="19"/>
      <c r="V351" s="19"/>
      <c r="X351" s="358" t="s">
        <v>121</v>
      </c>
      <c r="Y351" s="348" t="s">
        <v>64</v>
      </c>
      <c r="Z351" s="349" t="s">
        <v>8</v>
      </c>
      <c r="AA351" s="350" t="s">
        <v>22</v>
      </c>
      <c r="AB351" s="355" t="s">
        <v>541</v>
      </c>
      <c r="AC351" s="357">
        <v>200</v>
      </c>
      <c r="AD351" s="353">
        <f>AD352</f>
        <v>2087.5</v>
      </c>
      <c r="AE351" s="353">
        <f>AE352</f>
        <v>2087.5</v>
      </c>
      <c r="AF351" s="468">
        <f>AF352</f>
        <v>2087.5</v>
      </c>
      <c r="AG351" s="478">
        <f t="shared" si="88"/>
        <v>1</v>
      </c>
      <c r="AH351" s="24"/>
      <c r="AI351" s="24"/>
      <c r="AJ351" s="115"/>
    </row>
    <row r="352" spans="1:36" ht="31.5" x14ac:dyDescent="0.25">
      <c r="A352" s="73"/>
      <c r="B352" s="66"/>
      <c r="C352" s="66"/>
      <c r="D352" s="66"/>
      <c r="E352" s="14"/>
      <c r="F352" s="67"/>
      <c r="G352" s="68"/>
      <c r="H352" s="3"/>
      <c r="L352" s="61"/>
      <c r="N352" s="61"/>
      <c r="Q352" s="69"/>
      <c r="R352" s="19"/>
      <c r="S352" s="19"/>
      <c r="T352" s="19"/>
      <c r="U352" s="19"/>
      <c r="V352" s="19"/>
      <c r="X352" s="358" t="s">
        <v>52</v>
      </c>
      <c r="Y352" s="348" t="s">
        <v>64</v>
      </c>
      <c r="Z352" s="349" t="s">
        <v>8</v>
      </c>
      <c r="AA352" s="350" t="s">
        <v>22</v>
      </c>
      <c r="AB352" s="355" t="s">
        <v>541</v>
      </c>
      <c r="AC352" s="357">
        <v>240</v>
      </c>
      <c r="AD352" s="353">
        <f>1971+120-3.5</f>
        <v>2087.5</v>
      </c>
      <c r="AE352" s="353">
        <f>1971+120-3.5</f>
        <v>2087.5</v>
      </c>
      <c r="AF352" s="468">
        <v>2087.5</v>
      </c>
      <c r="AG352" s="478">
        <f t="shared" si="88"/>
        <v>1</v>
      </c>
      <c r="AH352" s="24"/>
      <c r="AI352" s="24"/>
      <c r="AJ352" s="115"/>
    </row>
    <row r="353" spans="1:36" x14ac:dyDescent="0.25">
      <c r="A353" s="73"/>
      <c r="B353" s="66"/>
      <c r="C353" s="66"/>
      <c r="D353" s="66"/>
      <c r="E353" s="14"/>
      <c r="F353" s="67"/>
      <c r="G353" s="68"/>
      <c r="H353" s="3"/>
      <c r="L353" s="61"/>
      <c r="N353" s="61"/>
      <c r="Q353" s="69"/>
      <c r="R353" s="19"/>
      <c r="S353" s="19"/>
      <c r="T353" s="19"/>
      <c r="U353" s="19"/>
      <c r="V353" s="19"/>
      <c r="X353" s="347" t="s">
        <v>98</v>
      </c>
      <c r="Y353" s="348" t="s">
        <v>64</v>
      </c>
      <c r="Z353" s="349" t="s">
        <v>8</v>
      </c>
      <c r="AA353" s="350" t="s">
        <v>22</v>
      </c>
      <c r="AB353" s="355" t="s">
        <v>541</v>
      </c>
      <c r="AC353" s="357">
        <v>300</v>
      </c>
      <c r="AD353" s="353">
        <f>AD354</f>
        <v>129.4</v>
      </c>
      <c r="AE353" s="353">
        <f>AE354</f>
        <v>129.4</v>
      </c>
      <c r="AF353" s="468">
        <f>AF354</f>
        <v>129.4</v>
      </c>
      <c r="AG353" s="478">
        <f t="shared" si="88"/>
        <v>1</v>
      </c>
      <c r="AH353" s="24"/>
      <c r="AI353" s="24"/>
      <c r="AJ353" s="115"/>
    </row>
    <row r="354" spans="1:36" x14ac:dyDescent="0.25">
      <c r="A354" s="73"/>
      <c r="B354" s="66"/>
      <c r="C354" s="66"/>
      <c r="D354" s="66"/>
      <c r="E354" s="14"/>
      <c r="F354" s="67"/>
      <c r="G354" s="68"/>
      <c r="H354" s="3"/>
      <c r="L354" s="61"/>
      <c r="N354" s="61"/>
      <c r="Q354" s="69"/>
      <c r="R354" s="19"/>
      <c r="S354" s="19"/>
      <c r="T354" s="19"/>
      <c r="U354" s="19"/>
      <c r="V354" s="19"/>
      <c r="X354" s="347" t="s">
        <v>40</v>
      </c>
      <c r="Y354" s="348" t="s">
        <v>64</v>
      </c>
      <c r="Z354" s="349" t="s">
        <v>8</v>
      </c>
      <c r="AA354" s="350" t="s">
        <v>22</v>
      </c>
      <c r="AB354" s="355" t="s">
        <v>541</v>
      </c>
      <c r="AC354" s="357">
        <v>320</v>
      </c>
      <c r="AD354" s="353">
        <v>129.4</v>
      </c>
      <c r="AE354" s="353">
        <v>129.4</v>
      </c>
      <c r="AF354" s="468">
        <v>129.4</v>
      </c>
      <c r="AG354" s="478">
        <f t="shared" si="88"/>
        <v>1</v>
      </c>
      <c r="AH354" s="24"/>
      <c r="AI354" s="24"/>
      <c r="AJ354" s="115"/>
    </row>
    <row r="355" spans="1:36" ht="31.5" x14ac:dyDescent="0.25">
      <c r="A355" s="73"/>
      <c r="B355" s="66"/>
      <c r="C355" s="66"/>
      <c r="D355" s="66"/>
      <c r="E355" s="14"/>
      <c r="F355" s="67"/>
      <c r="G355" s="68"/>
      <c r="H355" s="3"/>
      <c r="L355" s="61"/>
      <c r="N355" s="61"/>
      <c r="Q355" s="69"/>
      <c r="R355" s="19"/>
      <c r="S355" s="19"/>
      <c r="T355" s="19"/>
      <c r="U355" s="19"/>
      <c r="V355" s="19"/>
      <c r="X355" s="347" t="s">
        <v>61</v>
      </c>
      <c r="Y355" s="348" t="s">
        <v>64</v>
      </c>
      <c r="Z355" s="349" t="s">
        <v>8</v>
      </c>
      <c r="AA355" s="350" t="s">
        <v>22</v>
      </c>
      <c r="AB355" s="355" t="s">
        <v>541</v>
      </c>
      <c r="AC355" s="357">
        <v>600</v>
      </c>
      <c r="AD355" s="353">
        <f>AD356+AD357</f>
        <v>53.8</v>
      </c>
      <c r="AE355" s="353">
        <f>AE356+AE357</f>
        <v>53.8</v>
      </c>
      <c r="AF355" s="468">
        <f t="shared" ref="AF355" si="100">AF356+AF357</f>
        <v>53.8</v>
      </c>
      <c r="AG355" s="478">
        <f t="shared" si="88"/>
        <v>1</v>
      </c>
      <c r="AH355" s="24"/>
      <c r="AI355" s="24"/>
      <c r="AJ355" s="115"/>
    </row>
    <row r="356" spans="1:36" x14ac:dyDescent="0.25">
      <c r="A356" s="73"/>
      <c r="B356" s="66"/>
      <c r="C356" s="66"/>
      <c r="D356" s="66"/>
      <c r="E356" s="14"/>
      <c r="F356" s="67"/>
      <c r="G356" s="68"/>
      <c r="H356" s="3"/>
      <c r="L356" s="61"/>
      <c r="N356" s="61"/>
      <c r="Q356" s="69"/>
      <c r="R356" s="19"/>
      <c r="S356" s="19"/>
      <c r="T356" s="19"/>
      <c r="U356" s="19"/>
      <c r="V356" s="19"/>
      <c r="X356" s="347" t="s">
        <v>62</v>
      </c>
      <c r="Y356" s="348" t="s">
        <v>64</v>
      </c>
      <c r="Z356" s="349" t="s">
        <v>8</v>
      </c>
      <c r="AA356" s="350" t="s">
        <v>22</v>
      </c>
      <c r="AB356" s="355" t="s">
        <v>541</v>
      </c>
      <c r="AC356" s="357">
        <v>610</v>
      </c>
      <c r="AD356" s="353">
        <v>45.9</v>
      </c>
      <c r="AE356" s="353">
        <v>45.9</v>
      </c>
      <c r="AF356" s="468">
        <v>45.9</v>
      </c>
      <c r="AG356" s="478">
        <f t="shared" si="88"/>
        <v>1</v>
      </c>
      <c r="AH356" s="24"/>
      <c r="AI356" s="24"/>
      <c r="AJ356" s="115"/>
    </row>
    <row r="357" spans="1:36" x14ac:dyDescent="0.25">
      <c r="A357" s="73"/>
      <c r="B357" s="66"/>
      <c r="C357" s="66"/>
      <c r="D357" s="66"/>
      <c r="E357" s="14"/>
      <c r="F357" s="67"/>
      <c r="G357" s="68"/>
      <c r="H357" s="3"/>
      <c r="L357" s="61"/>
      <c r="N357" s="61"/>
      <c r="Q357" s="69"/>
      <c r="R357" s="19"/>
      <c r="S357" s="19"/>
      <c r="T357" s="19"/>
      <c r="U357" s="19"/>
      <c r="V357" s="19"/>
      <c r="X357" s="366" t="s">
        <v>130</v>
      </c>
      <c r="Y357" s="348" t="s">
        <v>64</v>
      </c>
      <c r="Z357" s="349" t="s">
        <v>8</v>
      </c>
      <c r="AA357" s="350" t="s">
        <v>22</v>
      </c>
      <c r="AB357" s="355" t="s">
        <v>541</v>
      </c>
      <c r="AC357" s="357">
        <v>620</v>
      </c>
      <c r="AD357" s="353">
        <v>7.9</v>
      </c>
      <c r="AE357" s="353">
        <v>7.9</v>
      </c>
      <c r="AF357" s="468">
        <v>7.9</v>
      </c>
      <c r="AG357" s="478">
        <f t="shared" si="88"/>
        <v>1</v>
      </c>
      <c r="AH357" s="24"/>
      <c r="AI357" s="24"/>
      <c r="AJ357" s="115"/>
    </row>
    <row r="358" spans="1:36" s="65" customFormat="1" ht="18.75" x14ac:dyDescent="0.3">
      <c r="A358" s="56"/>
      <c r="B358" s="57"/>
      <c r="C358" s="59"/>
      <c r="D358" s="60"/>
      <c r="E358" s="60"/>
      <c r="F358" s="60"/>
      <c r="G358" s="61"/>
      <c r="H358" s="61"/>
      <c r="I358" s="61"/>
      <c r="J358" s="61"/>
      <c r="K358" s="61"/>
      <c r="L358" s="99"/>
      <c r="M358" s="61"/>
      <c r="N358" s="61"/>
      <c r="O358" s="62"/>
      <c r="P358" s="61"/>
      <c r="Q358" s="63"/>
      <c r="R358" s="64"/>
      <c r="S358" s="64"/>
      <c r="T358" s="64"/>
      <c r="U358" s="64"/>
      <c r="V358" s="64"/>
      <c r="W358" s="64"/>
      <c r="X358" s="340" t="s">
        <v>21</v>
      </c>
      <c r="Y358" s="341" t="s">
        <v>64</v>
      </c>
      <c r="Z358" s="378" t="s">
        <v>16</v>
      </c>
      <c r="AA358" s="400"/>
      <c r="AB358" s="344"/>
      <c r="AC358" s="345"/>
      <c r="AD358" s="346">
        <f t="shared" ref="AD358:AF359" si="101">AD359</f>
        <v>188375.8</v>
      </c>
      <c r="AE358" s="346">
        <f t="shared" si="101"/>
        <v>188375.8</v>
      </c>
      <c r="AF358" s="467">
        <f t="shared" si="101"/>
        <v>188172.7</v>
      </c>
      <c r="AG358" s="477">
        <f t="shared" si="88"/>
        <v>0.99892183603201701</v>
      </c>
      <c r="AH358" s="160"/>
      <c r="AI358" s="160"/>
      <c r="AJ358" s="115"/>
    </row>
    <row r="359" spans="1:36" s="80" customFormat="1" x14ac:dyDescent="0.25">
      <c r="A359" s="17"/>
      <c r="B359" s="66"/>
      <c r="C359" s="67"/>
      <c r="D359" s="67"/>
      <c r="E359" s="14"/>
      <c r="F359" s="14"/>
      <c r="G359" s="68"/>
      <c r="H359" s="68"/>
      <c r="I359" s="68"/>
      <c r="J359" s="68"/>
      <c r="K359" s="68"/>
      <c r="L359" s="61"/>
      <c r="M359" s="68"/>
      <c r="N359" s="61"/>
      <c r="O359" s="74"/>
      <c r="P359" s="68"/>
      <c r="Q359" s="69"/>
      <c r="R359" s="19"/>
      <c r="S359" s="19"/>
      <c r="T359" s="19"/>
      <c r="U359" s="19"/>
      <c r="V359" s="19"/>
      <c r="W359" s="19"/>
      <c r="X359" s="347" t="s">
        <v>65</v>
      </c>
      <c r="Y359" s="348" t="s">
        <v>64</v>
      </c>
      <c r="Z359" s="349" t="s">
        <v>16</v>
      </c>
      <c r="AA359" s="350" t="s">
        <v>29</v>
      </c>
      <c r="AB359" s="351"/>
      <c r="AC359" s="352"/>
      <c r="AD359" s="353">
        <f t="shared" si="101"/>
        <v>188375.8</v>
      </c>
      <c r="AE359" s="353">
        <f t="shared" si="101"/>
        <v>188375.8</v>
      </c>
      <c r="AF359" s="468">
        <f t="shared" si="101"/>
        <v>188172.7</v>
      </c>
      <c r="AG359" s="478">
        <f t="shared" si="88"/>
        <v>0.99892183603201701</v>
      </c>
      <c r="AH359" s="24"/>
      <c r="AI359" s="24"/>
      <c r="AJ359" s="115"/>
    </row>
    <row r="360" spans="1:36" s="80" customFormat="1" x14ac:dyDescent="0.25">
      <c r="A360" s="17"/>
      <c r="B360" s="66"/>
      <c r="C360" s="67"/>
      <c r="D360" s="67"/>
      <c r="E360" s="14"/>
      <c r="F360" s="14"/>
      <c r="G360" s="68"/>
      <c r="H360" s="68"/>
      <c r="I360" s="68"/>
      <c r="J360" s="68"/>
      <c r="K360" s="68"/>
      <c r="L360" s="68"/>
      <c r="M360" s="68"/>
      <c r="N360" s="68"/>
      <c r="O360" s="74"/>
      <c r="P360" s="68"/>
      <c r="Q360" s="69"/>
      <c r="R360" s="19"/>
      <c r="S360" s="19"/>
      <c r="T360" s="19"/>
      <c r="U360" s="19"/>
      <c r="V360" s="19"/>
      <c r="W360" s="19"/>
      <c r="X360" s="356" t="s">
        <v>612</v>
      </c>
      <c r="Y360" s="348" t="s">
        <v>64</v>
      </c>
      <c r="Z360" s="349" t="s">
        <v>16</v>
      </c>
      <c r="AA360" s="350" t="s">
        <v>29</v>
      </c>
      <c r="AB360" s="355" t="s">
        <v>115</v>
      </c>
      <c r="AC360" s="352"/>
      <c r="AD360" s="353">
        <f>AD361+AD373+AD395</f>
        <v>188375.8</v>
      </c>
      <c r="AE360" s="353">
        <f>AE361+AE373+AE395</f>
        <v>188375.8</v>
      </c>
      <c r="AF360" s="468">
        <f>AF361+AF373+AF395</f>
        <v>188172.7</v>
      </c>
      <c r="AG360" s="478">
        <f t="shared" si="88"/>
        <v>0.99892183603201701</v>
      </c>
      <c r="AH360" s="24"/>
      <c r="AI360" s="24"/>
      <c r="AJ360" s="115"/>
    </row>
    <row r="361" spans="1:36" s="80" customFormat="1" x14ac:dyDescent="0.25">
      <c r="A361" s="17"/>
      <c r="B361" s="66"/>
      <c r="C361" s="67"/>
      <c r="D361" s="67"/>
      <c r="E361" s="14"/>
      <c r="F361" s="14"/>
      <c r="G361" s="68"/>
      <c r="H361" s="68"/>
      <c r="I361" s="68"/>
      <c r="J361" s="68"/>
      <c r="K361" s="68"/>
      <c r="L361" s="61"/>
      <c r="M361" s="68"/>
      <c r="N361" s="61"/>
      <c r="O361" s="74"/>
      <c r="P361" s="68"/>
      <c r="Q361" s="69"/>
      <c r="R361" s="19"/>
      <c r="S361" s="19"/>
      <c r="T361" s="19"/>
      <c r="U361" s="19"/>
      <c r="V361" s="19"/>
      <c r="W361" s="19"/>
      <c r="X361" s="356" t="s">
        <v>532</v>
      </c>
      <c r="Y361" s="348" t="s">
        <v>64</v>
      </c>
      <c r="Z361" s="349" t="s">
        <v>16</v>
      </c>
      <c r="AA361" s="350" t="s">
        <v>29</v>
      </c>
      <c r="AB361" s="355" t="s">
        <v>322</v>
      </c>
      <c r="AC361" s="352"/>
      <c r="AD361" s="353">
        <f>AD362+AD369</f>
        <v>29037.199999999993</v>
      </c>
      <c r="AE361" s="353">
        <f>AE362+AE369</f>
        <v>29037.199999999993</v>
      </c>
      <c r="AF361" s="468">
        <f t="shared" ref="AF361" si="102">AF362+AF369</f>
        <v>29037.200000000001</v>
      </c>
      <c r="AG361" s="478">
        <f t="shared" si="88"/>
        <v>1.0000000000000002</v>
      </c>
      <c r="AH361" s="24"/>
      <c r="AI361" s="24"/>
      <c r="AJ361" s="115"/>
    </row>
    <row r="362" spans="1:36" s="80" customFormat="1" x14ac:dyDescent="0.25">
      <c r="A362" s="17"/>
      <c r="B362" s="66"/>
      <c r="C362" s="67"/>
      <c r="D362" s="67"/>
      <c r="E362" s="14"/>
      <c r="F362" s="14"/>
      <c r="G362" s="68"/>
      <c r="H362" s="68"/>
      <c r="I362" s="68"/>
      <c r="J362" s="68"/>
      <c r="K362" s="68"/>
      <c r="L362" s="61"/>
      <c r="M362" s="68"/>
      <c r="N362" s="61"/>
      <c r="O362" s="74"/>
      <c r="P362" s="68"/>
      <c r="Q362" s="69"/>
      <c r="R362" s="19"/>
      <c r="S362" s="19"/>
      <c r="T362" s="19"/>
      <c r="U362" s="19"/>
      <c r="V362" s="19"/>
      <c r="W362" s="19"/>
      <c r="X362" s="356" t="s">
        <v>323</v>
      </c>
      <c r="Y362" s="348" t="s">
        <v>64</v>
      </c>
      <c r="Z362" s="349" t="s">
        <v>16</v>
      </c>
      <c r="AA362" s="350" t="s">
        <v>29</v>
      </c>
      <c r="AB362" s="355" t="s">
        <v>324</v>
      </c>
      <c r="AC362" s="352"/>
      <c r="AD362" s="353">
        <f>AD363+AD366</f>
        <v>28857.199999999993</v>
      </c>
      <c r="AE362" s="353">
        <f>AE363+AE366</f>
        <v>28857.199999999993</v>
      </c>
      <c r="AF362" s="468">
        <f t="shared" ref="AF362" si="103">AF363+AF366</f>
        <v>28857.200000000001</v>
      </c>
      <c r="AG362" s="478">
        <f t="shared" si="88"/>
        <v>1.0000000000000002</v>
      </c>
      <c r="AH362" s="24"/>
      <c r="AI362" s="24"/>
      <c r="AJ362" s="115"/>
    </row>
    <row r="363" spans="1:36" s="80" customFormat="1" ht="31.5" x14ac:dyDescent="0.25">
      <c r="A363" s="17"/>
      <c r="B363" s="66"/>
      <c r="C363" s="67"/>
      <c r="D363" s="67"/>
      <c r="E363" s="14"/>
      <c r="F363" s="14"/>
      <c r="G363" s="68"/>
      <c r="H363" s="68"/>
      <c r="I363" s="68"/>
      <c r="J363" s="68"/>
      <c r="K363" s="68"/>
      <c r="L363" s="61"/>
      <c r="M363" s="68"/>
      <c r="N363" s="61"/>
      <c r="O363" s="74"/>
      <c r="P363" s="68"/>
      <c r="Q363" s="69"/>
      <c r="R363" s="19"/>
      <c r="S363" s="19"/>
      <c r="T363" s="19"/>
      <c r="U363" s="19"/>
      <c r="V363" s="19"/>
      <c r="W363" s="19"/>
      <c r="X363" s="358" t="s">
        <v>259</v>
      </c>
      <c r="Y363" s="348" t="s">
        <v>64</v>
      </c>
      <c r="Z363" s="349" t="s">
        <v>16</v>
      </c>
      <c r="AA363" s="350" t="s">
        <v>29</v>
      </c>
      <c r="AB363" s="355" t="s">
        <v>260</v>
      </c>
      <c r="AC363" s="352"/>
      <c r="AD363" s="353">
        <f t="shared" ref="AD363:AF364" si="104">AD364</f>
        <v>27250.199999999993</v>
      </c>
      <c r="AE363" s="353">
        <f t="shared" si="104"/>
        <v>27250.199999999993</v>
      </c>
      <c r="AF363" s="468">
        <f t="shared" si="104"/>
        <v>27250.2</v>
      </c>
      <c r="AG363" s="478">
        <f t="shared" si="88"/>
        <v>1.0000000000000002</v>
      </c>
      <c r="AH363" s="24"/>
      <c r="AI363" s="24"/>
      <c r="AJ363" s="115"/>
    </row>
    <row r="364" spans="1:36" s="80" customFormat="1" ht="31.5" x14ac:dyDescent="0.25">
      <c r="A364" s="17"/>
      <c r="B364" s="66"/>
      <c r="C364" s="67"/>
      <c r="D364" s="67"/>
      <c r="E364" s="14"/>
      <c r="F364" s="14"/>
      <c r="G364" s="68"/>
      <c r="H364" s="68"/>
      <c r="I364" s="68"/>
      <c r="J364" s="68"/>
      <c r="K364" s="68"/>
      <c r="L364" s="61"/>
      <c r="M364" s="68"/>
      <c r="N364" s="61"/>
      <c r="O364" s="74"/>
      <c r="P364" s="68"/>
      <c r="Q364" s="69"/>
      <c r="R364" s="19"/>
      <c r="S364" s="19"/>
      <c r="T364" s="19"/>
      <c r="U364" s="19"/>
      <c r="V364" s="19"/>
      <c r="W364" s="19"/>
      <c r="X364" s="347" t="s">
        <v>61</v>
      </c>
      <c r="Y364" s="348" t="s">
        <v>64</v>
      </c>
      <c r="Z364" s="349" t="s">
        <v>16</v>
      </c>
      <c r="AA364" s="350" t="s">
        <v>29</v>
      </c>
      <c r="AB364" s="355" t="s">
        <v>260</v>
      </c>
      <c r="AC364" s="357">
        <v>600</v>
      </c>
      <c r="AD364" s="353">
        <f t="shared" si="104"/>
        <v>27250.199999999993</v>
      </c>
      <c r="AE364" s="353">
        <f t="shared" si="104"/>
        <v>27250.199999999993</v>
      </c>
      <c r="AF364" s="468">
        <f t="shared" si="104"/>
        <v>27250.2</v>
      </c>
      <c r="AG364" s="478">
        <f t="shared" si="88"/>
        <v>1.0000000000000002</v>
      </c>
      <c r="AH364" s="24"/>
      <c r="AI364" s="24"/>
      <c r="AJ364" s="115"/>
    </row>
    <row r="365" spans="1:36" s="80" customFormat="1" x14ac:dyDescent="0.25">
      <c r="A365" s="17"/>
      <c r="B365" s="66"/>
      <c r="C365" s="67"/>
      <c r="D365" s="67"/>
      <c r="E365" s="14"/>
      <c r="F365" s="14"/>
      <c r="G365" s="68"/>
      <c r="H365" s="68"/>
      <c r="I365" s="68"/>
      <c r="J365" s="68"/>
      <c r="K365" s="68"/>
      <c r="L365" s="61"/>
      <c r="M365" s="68"/>
      <c r="N365" s="61"/>
      <c r="O365" s="74"/>
      <c r="P365" s="68"/>
      <c r="Q365" s="69"/>
      <c r="R365" s="19"/>
      <c r="S365" s="19"/>
      <c r="T365" s="19"/>
      <c r="U365" s="19"/>
      <c r="V365" s="19"/>
      <c r="W365" s="19"/>
      <c r="X365" s="347" t="s">
        <v>62</v>
      </c>
      <c r="Y365" s="348" t="s">
        <v>64</v>
      </c>
      <c r="Z365" s="349" t="s">
        <v>16</v>
      </c>
      <c r="AA365" s="350" t="s">
        <v>29</v>
      </c>
      <c r="AB365" s="355" t="s">
        <v>260</v>
      </c>
      <c r="AC365" s="357">
        <v>610</v>
      </c>
      <c r="AD365" s="382">
        <f>24547.6+75+107.8+1436.1+50+2090.8-683.2-373.9</f>
        <v>27250.199999999993</v>
      </c>
      <c r="AE365" s="382">
        <f>24547.6+75+107.8+1436.1+50+2090.8-683.2-373.9</f>
        <v>27250.199999999993</v>
      </c>
      <c r="AF365" s="469">
        <v>27250.2</v>
      </c>
      <c r="AG365" s="478">
        <f t="shared" si="88"/>
        <v>1.0000000000000002</v>
      </c>
      <c r="AH365" s="161"/>
      <c r="AI365" s="161"/>
      <c r="AJ365" s="115"/>
    </row>
    <row r="366" spans="1:36" s="80" customFormat="1" ht="31.5" x14ac:dyDescent="0.25">
      <c r="A366" s="17"/>
      <c r="B366" s="66"/>
      <c r="C366" s="67"/>
      <c r="D366" s="67"/>
      <c r="E366" s="14"/>
      <c r="F366" s="14"/>
      <c r="G366" s="68"/>
      <c r="H366" s="68"/>
      <c r="I366" s="68"/>
      <c r="J366" s="68"/>
      <c r="K366" s="68"/>
      <c r="L366" s="61"/>
      <c r="M366" s="68"/>
      <c r="N366" s="61"/>
      <c r="O366" s="74"/>
      <c r="P366" s="68"/>
      <c r="Q366" s="69"/>
      <c r="R366" s="19"/>
      <c r="S366" s="19"/>
      <c r="T366" s="19"/>
      <c r="U366" s="19"/>
      <c r="V366" s="19"/>
      <c r="W366" s="19"/>
      <c r="X366" s="347" t="s">
        <v>796</v>
      </c>
      <c r="Y366" s="348" t="s">
        <v>64</v>
      </c>
      <c r="Z366" s="349" t="s">
        <v>16</v>
      </c>
      <c r="AA366" s="350" t="s">
        <v>29</v>
      </c>
      <c r="AB366" s="355" t="s">
        <v>803</v>
      </c>
      <c r="AC366" s="352"/>
      <c r="AD366" s="382">
        <f>AD367</f>
        <v>1607</v>
      </c>
      <c r="AE366" s="382">
        <f>AE367</f>
        <v>1607</v>
      </c>
      <c r="AF366" s="469">
        <f t="shared" ref="AF366:AF367" si="105">AF367</f>
        <v>1607</v>
      </c>
      <c r="AG366" s="478">
        <f t="shared" si="88"/>
        <v>1</v>
      </c>
      <c r="AH366" s="161"/>
      <c r="AI366" s="161"/>
      <c r="AJ366" s="115"/>
    </row>
    <row r="367" spans="1:36" s="80" customFormat="1" ht="31.5" x14ac:dyDescent="0.25">
      <c r="A367" s="17"/>
      <c r="B367" s="66"/>
      <c r="C367" s="67"/>
      <c r="D367" s="67"/>
      <c r="E367" s="14"/>
      <c r="F367" s="14"/>
      <c r="G367" s="68"/>
      <c r="H367" s="68"/>
      <c r="I367" s="68"/>
      <c r="J367" s="68"/>
      <c r="K367" s="68"/>
      <c r="L367" s="61"/>
      <c r="M367" s="68"/>
      <c r="N367" s="61"/>
      <c r="O367" s="74"/>
      <c r="P367" s="68"/>
      <c r="Q367" s="69"/>
      <c r="R367" s="19"/>
      <c r="S367" s="19"/>
      <c r="T367" s="19"/>
      <c r="U367" s="19"/>
      <c r="V367" s="19"/>
      <c r="W367" s="19"/>
      <c r="X367" s="347" t="s">
        <v>61</v>
      </c>
      <c r="Y367" s="348" t="s">
        <v>64</v>
      </c>
      <c r="Z367" s="349" t="s">
        <v>16</v>
      </c>
      <c r="AA367" s="350" t="s">
        <v>29</v>
      </c>
      <c r="AB367" s="355" t="s">
        <v>803</v>
      </c>
      <c r="AC367" s="357">
        <v>600</v>
      </c>
      <c r="AD367" s="382">
        <f>AD368</f>
        <v>1607</v>
      </c>
      <c r="AE367" s="382">
        <f>AE368</f>
        <v>1607</v>
      </c>
      <c r="AF367" s="469">
        <f t="shared" si="105"/>
        <v>1607</v>
      </c>
      <c r="AG367" s="478">
        <f t="shared" si="88"/>
        <v>1</v>
      </c>
      <c r="AH367" s="161"/>
      <c r="AI367" s="161"/>
      <c r="AJ367" s="115"/>
    </row>
    <row r="368" spans="1:36" s="80" customFormat="1" x14ac:dyDescent="0.25">
      <c r="A368" s="17"/>
      <c r="B368" s="66"/>
      <c r="C368" s="67"/>
      <c r="D368" s="67"/>
      <c r="E368" s="14"/>
      <c r="F368" s="14"/>
      <c r="G368" s="68"/>
      <c r="H368" s="68"/>
      <c r="I368" s="68"/>
      <c r="J368" s="68"/>
      <c r="K368" s="68"/>
      <c r="L368" s="61"/>
      <c r="M368" s="68"/>
      <c r="N368" s="61"/>
      <c r="O368" s="74"/>
      <c r="P368" s="68"/>
      <c r="Q368" s="69"/>
      <c r="R368" s="19"/>
      <c r="S368" s="19"/>
      <c r="T368" s="19"/>
      <c r="U368" s="19"/>
      <c r="V368" s="19"/>
      <c r="W368" s="19"/>
      <c r="X368" s="347" t="s">
        <v>62</v>
      </c>
      <c r="Y368" s="348" t="s">
        <v>64</v>
      </c>
      <c r="Z368" s="349" t="s">
        <v>16</v>
      </c>
      <c r="AA368" s="350" t="s">
        <v>29</v>
      </c>
      <c r="AB368" s="355" t="s">
        <v>803</v>
      </c>
      <c r="AC368" s="357">
        <v>610</v>
      </c>
      <c r="AD368" s="382">
        <v>1607</v>
      </c>
      <c r="AE368" s="382">
        <v>1607</v>
      </c>
      <c r="AF368" s="469">
        <v>1607</v>
      </c>
      <c r="AG368" s="478">
        <f t="shared" si="88"/>
        <v>1</v>
      </c>
      <c r="AH368" s="161"/>
      <c r="AI368" s="161"/>
      <c r="AJ368" s="115"/>
    </row>
    <row r="369" spans="1:36" s="80" customFormat="1" ht="54.6" customHeight="1" x14ac:dyDescent="0.25">
      <c r="A369" s="17"/>
      <c r="B369" s="66"/>
      <c r="C369" s="67"/>
      <c r="D369" s="67"/>
      <c r="E369" s="14"/>
      <c r="F369" s="14"/>
      <c r="G369" s="68"/>
      <c r="H369" s="68"/>
      <c r="I369" s="68"/>
      <c r="J369" s="68"/>
      <c r="K369" s="68"/>
      <c r="L369" s="61"/>
      <c r="M369" s="68"/>
      <c r="N369" s="61"/>
      <c r="O369" s="74"/>
      <c r="P369" s="68"/>
      <c r="Q369" s="69"/>
      <c r="R369" s="19"/>
      <c r="S369" s="19"/>
      <c r="T369" s="19"/>
      <c r="U369" s="19"/>
      <c r="V369" s="19"/>
      <c r="W369" s="19"/>
      <c r="X369" s="347" t="s">
        <v>782</v>
      </c>
      <c r="Y369" s="348" t="s">
        <v>64</v>
      </c>
      <c r="Z369" s="349" t="s">
        <v>16</v>
      </c>
      <c r="AA369" s="350" t="s">
        <v>29</v>
      </c>
      <c r="AB369" s="355" t="s">
        <v>783</v>
      </c>
      <c r="AC369" s="357"/>
      <c r="AD369" s="382">
        <f t="shared" ref="AD369:AE371" si="106">AD370</f>
        <v>180</v>
      </c>
      <c r="AE369" s="382">
        <f t="shared" si="106"/>
        <v>180</v>
      </c>
      <c r="AF369" s="469">
        <f t="shared" ref="AF369" si="107">AF370</f>
        <v>180</v>
      </c>
      <c r="AG369" s="478">
        <f t="shared" si="88"/>
        <v>1</v>
      </c>
      <c r="AH369" s="161"/>
      <c r="AI369" s="161"/>
      <c r="AJ369" s="115"/>
    </row>
    <row r="370" spans="1:36" s="80" customFormat="1" x14ac:dyDescent="0.25">
      <c r="A370" s="17"/>
      <c r="B370" s="66"/>
      <c r="C370" s="67"/>
      <c r="D370" s="67"/>
      <c r="E370" s="14"/>
      <c r="F370" s="14"/>
      <c r="G370" s="68"/>
      <c r="H370" s="68"/>
      <c r="I370" s="68"/>
      <c r="J370" s="68"/>
      <c r="K370" s="68"/>
      <c r="L370" s="61"/>
      <c r="M370" s="68"/>
      <c r="N370" s="61"/>
      <c r="O370" s="74"/>
      <c r="P370" s="68"/>
      <c r="Q370" s="69"/>
      <c r="R370" s="19"/>
      <c r="S370" s="19"/>
      <c r="T370" s="19"/>
      <c r="U370" s="19"/>
      <c r="V370" s="19"/>
      <c r="W370" s="19"/>
      <c r="X370" s="347" t="s">
        <v>794</v>
      </c>
      <c r="Y370" s="348" t="s">
        <v>64</v>
      </c>
      <c r="Z370" s="349" t="s">
        <v>16</v>
      </c>
      <c r="AA370" s="350" t="s">
        <v>29</v>
      </c>
      <c r="AB370" s="355" t="s">
        <v>795</v>
      </c>
      <c r="AC370" s="357"/>
      <c r="AD370" s="382">
        <f t="shared" si="106"/>
        <v>180</v>
      </c>
      <c r="AE370" s="382">
        <f t="shared" si="106"/>
        <v>180</v>
      </c>
      <c r="AF370" s="469">
        <f t="shared" ref="AF370" si="108">AF371</f>
        <v>180</v>
      </c>
      <c r="AG370" s="478">
        <f t="shared" si="88"/>
        <v>1</v>
      </c>
      <c r="AH370" s="161"/>
      <c r="AI370" s="161"/>
      <c r="AJ370" s="115"/>
    </row>
    <row r="371" spans="1:36" s="80" customFormat="1" ht="31.5" x14ac:dyDescent="0.25">
      <c r="A371" s="17"/>
      <c r="B371" s="66"/>
      <c r="C371" s="67"/>
      <c r="D371" s="67"/>
      <c r="E371" s="14"/>
      <c r="F371" s="14"/>
      <c r="G371" s="68"/>
      <c r="H371" s="68"/>
      <c r="I371" s="68"/>
      <c r="J371" s="68"/>
      <c r="K371" s="68"/>
      <c r="L371" s="61"/>
      <c r="M371" s="68"/>
      <c r="N371" s="61"/>
      <c r="O371" s="74"/>
      <c r="P371" s="68"/>
      <c r="Q371" s="69"/>
      <c r="R371" s="19"/>
      <c r="S371" s="19"/>
      <c r="T371" s="19"/>
      <c r="U371" s="19"/>
      <c r="V371" s="19"/>
      <c r="W371" s="19"/>
      <c r="X371" s="347" t="s">
        <v>61</v>
      </c>
      <c r="Y371" s="348" t="s">
        <v>64</v>
      </c>
      <c r="Z371" s="349" t="s">
        <v>16</v>
      </c>
      <c r="AA371" s="350" t="s">
        <v>29</v>
      </c>
      <c r="AB371" s="355" t="s">
        <v>795</v>
      </c>
      <c r="AC371" s="357">
        <v>600</v>
      </c>
      <c r="AD371" s="382">
        <f t="shared" si="106"/>
        <v>180</v>
      </c>
      <c r="AE371" s="382">
        <f t="shared" si="106"/>
        <v>180</v>
      </c>
      <c r="AF371" s="469">
        <f t="shared" ref="AF371" si="109">AF372</f>
        <v>180</v>
      </c>
      <c r="AG371" s="478">
        <f t="shared" si="88"/>
        <v>1</v>
      </c>
      <c r="AH371" s="161"/>
      <c r="AI371" s="161"/>
      <c r="AJ371" s="115"/>
    </row>
    <row r="372" spans="1:36" s="80" customFormat="1" x14ac:dyDescent="0.25">
      <c r="A372" s="17"/>
      <c r="B372" s="66"/>
      <c r="C372" s="67"/>
      <c r="D372" s="67"/>
      <c r="E372" s="14"/>
      <c r="F372" s="14"/>
      <c r="G372" s="68"/>
      <c r="H372" s="68"/>
      <c r="I372" s="68"/>
      <c r="J372" s="68"/>
      <c r="K372" s="68"/>
      <c r="L372" s="61"/>
      <c r="M372" s="68"/>
      <c r="N372" s="61"/>
      <c r="O372" s="74"/>
      <c r="P372" s="68"/>
      <c r="Q372" s="69"/>
      <c r="R372" s="19"/>
      <c r="S372" s="19"/>
      <c r="T372" s="19"/>
      <c r="U372" s="19"/>
      <c r="V372" s="19"/>
      <c r="W372" s="19"/>
      <c r="X372" s="347" t="s">
        <v>62</v>
      </c>
      <c r="Y372" s="348" t="s">
        <v>64</v>
      </c>
      <c r="Z372" s="349" t="s">
        <v>16</v>
      </c>
      <c r="AA372" s="350" t="s">
        <v>29</v>
      </c>
      <c r="AB372" s="355" t="s">
        <v>795</v>
      </c>
      <c r="AC372" s="357">
        <v>610</v>
      </c>
      <c r="AD372" s="382">
        <f>600-420</f>
        <v>180</v>
      </c>
      <c r="AE372" s="382">
        <f>600-420</f>
        <v>180</v>
      </c>
      <c r="AF372" s="469">
        <v>180</v>
      </c>
      <c r="AG372" s="478">
        <f t="shared" si="88"/>
        <v>1</v>
      </c>
      <c r="AH372" s="161"/>
      <c r="AI372" s="161"/>
      <c r="AJ372" s="115"/>
    </row>
    <row r="373" spans="1:36" s="80" customFormat="1" x14ac:dyDescent="0.25">
      <c r="A373" s="17"/>
      <c r="B373" s="66"/>
      <c r="C373" s="67"/>
      <c r="D373" s="67"/>
      <c r="E373" s="14"/>
      <c r="F373" s="14"/>
      <c r="G373" s="68"/>
      <c r="H373" s="68"/>
      <c r="I373" s="68"/>
      <c r="J373" s="68"/>
      <c r="K373" s="68"/>
      <c r="L373" s="61"/>
      <c r="M373" s="68"/>
      <c r="N373" s="61"/>
      <c r="O373" s="74"/>
      <c r="P373" s="68"/>
      <c r="Q373" s="69"/>
      <c r="R373" s="19"/>
      <c r="S373" s="19"/>
      <c r="T373" s="19"/>
      <c r="U373" s="19"/>
      <c r="V373" s="19"/>
      <c r="W373" s="19"/>
      <c r="X373" s="356" t="s">
        <v>524</v>
      </c>
      <c r="Y373" s="348" t="s">
        <v>64</v>
      </c>
      <c r="Z373" s="349" t="s">
        <v>16</v>
      </c>
      <c r="AA373" s="350" t="s">
        <v>29</v>
      </c>
      <c r="AB373" s="355" t="s">
        <v>141</v>
      </c>
      <c r="AC373" s="391"/>
      <c r="AD373" s="382">
        <f>AD374+AD391+AD387</f>
        <v>59454.5</v>
      </c>
      <c r="AE373" s="382">
        <f>AE374+AE391+AE387</f>
        <v>59454.5</v>
      </c>
      <c r="AF373" s="469">
        <f t="shared" ref="AF373" si="110">AF374+AF391+AF387</f>
        <v>59394</v>
      </c>
      <c r="AG373" s="478">
        <f t="shared" si="88"/>
        <v>0.99898241512417063</v>
      </c>
      <c r="AH373" s="161"/>
      <c r="AI373" s="161"/>
      <c r="AJ373" s="115"/>
    </row>
    <row r="374" spans="1:36" s="80" customFormat="1" ht="31.5" x14ac:dyDescent="0.25">
      <c r="A374" s="17"/>
      <c r="B374" s="66"/>
      <c r="C374" s="67"/>
      <c r="D374" s="67"/>
      <c r="E374" s="14"/>
      <c r="F374" s="14"/>
      <c r="G374" s="68"/>
      <c r="H374" s="68"/>
      <c r="I374" s="68"/>
      <c r="J374" s="68"/>
      <c r="K374" s="68"/>
      <c r="L374" s="61"/>
      <c r="M374" s="68"/>
      <c r="N374" s="61"/>
      <c r="O374" s="74"/>
      <c r="P374" s="68"/>
      <c r="Q374" s="69"/>
      <c r="R374" s="19"/>
      <c r="S374" s="19"/>
      <c r="T374" s="19"/>
      <c r="U374" s="19"/>
      <c r="V374" s="19"/>
      <c r="W374" s="19"/>
      <c r="X374" s="356" t="s">
        <v>261</v>
      </c>
      <c r="Y374" s="348" t="s">
        <v>64</v>
      </c>
      <c r="Z374" s="349" t="s">
        <v>16</v>
      </c>
      <c r="AA374" s="350" t="s">
        <v>29</v>
      </c>
      <c r="AB374" s="355" t="s">
        <v>142</v>
      </c>
      <c r="AC374" s="357"/>
      <c r="AD374" s="353">
        <f>AD375+AD378+AD381+AD384</f>
        <v>38274.5</v>
      </c>
      <c r="AE374" s="353">
        <f>AE375+AE378+AE381+AE384</f>
        <v>38274.5</v>
      </c>
      <c r="AF374" s="468">
        <f t="shared" ref="AF374" si="111">AF375+AF378+AF381+AF384</f>
        <v>38274.5</v>
      </c>
      <c r="AG374" s="478">
        <f t="shared" si="88"/>
        <v>1</v>
      </c>
      <c r="AH374" s="24"/>
      <c r="AI374" s="24"/>
      <c r="AJ374" s="115"/>
    </row>
    <row r="375" spans="1:36" s="80" customFormat="1" ht="31.5" x14ac:dyDescent="0.25">
      <c r="A375" s="17"/>
      <c r="B375" s="66"/>
      <c r="C375" s="67"/>
      <c r="D375" s="67"/>
      <c r="E375" s="14"/>
      <c r="F375" s="14"/>
      <c r="G375" s="68"/>
      <c r="H375" s="68"/>
      <c r="I375" s="68"/>
      <c r="J375" s="68"/>
      <c r="K375" s="68"/>
      <c r="L375" s="61"/>
      <c r="M375" s="68"/>
      <c r="N375" s="61"/>
      <c r="O375" s="74"/>
      <c r="P375" s="68"/>
      <c r="Q375" s="69"/>
      <c r="R375" s="19"/>
      <c r="S375" s="19"/>
      <c r="T375" s="19"/>
      <c r="U375" s="19"/>
      <c r="V375" s="19"/>
      <c r="W375" s="19"/>
      <c r="X375" s="358" t="s">
        <v>262</v>
      </c>
      <c r="Y375" s="348" t="s">
        <v>64</v>
      </c>
      <c r="Z375" s="349" t="s">
        <v>16</v>
      </c>
      <c r="AA375" s="350" t="s">
        <v>29</v>
      </c>
      <c r="AB375" s="355" t="s">
        <v>263</v>
      </c>
      <c r="AC375" s="357"/>
      <c r="AD375" s="353">
        <f t="shared" ref="AD375:AF376" si="112">AD376</f>
        <v>1000</v>
      </c>
      <c r="AE375" s="353">
        <f t="shared" si="112"/>
        <v>1000</v>
      </c>
      <c r="AF375" s="468">
        <f t="shared" si="112"/>
        <v>1000</v>
      </c>
      <c r="AG375" s="478">
        <f t="shared" ref="AG375:AG438" si="113">AF375/AE375</f>
        <v>1</v>
      </c>
      <c r="AH375" s="24"/>
      <c r="AI375" s="24"/>
      <c r="AJ375" s="115"/>
    </row>
    <row r="376" spans="1:36" s="80" customFormat="1" ht="31.5" x14ac:dyDescent="0.25">
      <c r="A376" s="17"/>
      <c r="B376" s="66"/>
      <c r="C376" s="67"/>
      <c r="D376" s="67"/>
      <c r="E376" s="14"/>
      <c r="F376" s="14"/>
      <c r="G376" s="68"/>
      <c r="H376" s="68"/>
      <c r="I376" s="68"/>
      <c r="J376" s="68"/>
      <c r="K376" s="68"/>
      <c r="L376" s="61"/>
      <c r="M376" s="68"/>
      <c r="N376" s="61"/>
      <c r="O376" s="74"/>
      <c r="P376" s="68"/>
      <c r="Q376" s="69"/>
      <c r="R376" s="19"/>
      <c r="S376" s="19"/>
      <c r="T376" s="19"/>
      <c r="U376" s="19"/>
      <c r="V376" s="19"/>
      <c r="W376" s="19"/>
      <c r="X376" s="347" t="s">
        <v>61</v>
      </c>
      <c r="Y376" s="348" t="s">
        <v>64</v>
      </c>
      <c r="Z376" s="349" t="s">
        <v>16</v>
      </c>
      <c r="AA376" s="350" t="s">
        <v>29</v>
      </c>
      <c r="AB376" s="355" t="s">
        <v>263</v>
      </c>
      <c r="AC376" s="357">
        <v>600</v>
      </c>
      <c r="AD376" s="353">
        <f t="shared" si="112"/>
        <v>1000</v>
      </c>
      <c r="AE376" s="353">
        <f t="shared" si="112"/>
        <v>1000</v>
      </c>
      <c r="AF376" s="468">
        <f t="shared" si="112"/>
        <v>1000</v>
      </c>
      <c r="AG376" s="478">
        <f t="shared" si="113"/>
        <v>1</v>
      </c>
      <c r="AH376" s="24"/>
      <c r="AI376" s="24"/>
      <c r="AJ376" s="115"/>
    </row>
    <row r="377" spans="1:36" s="80" customFormat="1" x14ac:dyDescent="0.25">
      <c r="A377" s="17"/>
      <c r="B377" s="66"/>
      <c r="C377" s="67"/>
      <c r="D377" s="67"/>
      <c r="E377" s="14"/>
      <c r="F377" s="14"/>
      <c r="G377" s="68"/>
      <c r="H377" s="68"/>
      <c r="I377" s="68"/>
      <c r="J377" s="68"/>
      <c r="K377" s="68"/>
      <c r="L377" s="61"/>
      <c r="M377" s="68"/>
      <c r="N377" s="61"/>
      <c r="O377" s="74"/>
      <c r="P377" s="68"/>
      <c r="Q377" s="69"/>
      <c r="R377" s="19"/>
      <c r="S377" s="19"/>
      <c r="T377" s="19"/>
      <c r="U377" s="19"/>
      <c r="V377" s="19"/>
      <c r="W377" s="19"/>
      <c r="X377" s="347" t="s">
        <v>62</v>
      </c>
      <c r="Y377" s="348" t="s">
        <v>64</v>
      </c>
      <c r="Z377" s="349" t="s">
        <v>16</v>
      </c>
      <c r="AA377" s="350" t="s">
        <v>29</v>
      </c>
      <c r="AB377" s="355" t="s">
        <v>263</v>
      </c>
      <c r="AC377" s="357">
        <v>610</v>
      </c>
      <c r="AD377" s="353">
        <v>1000</v>
      </c>
      <c r="AE377" s="353">
        <v>1000</v>
      </c>
      <c r="AF377" s="468">
        <v>1000</v>
      </c>
      <c r="AG377" s="478">
        <f t="shared" si="113"/>
        <v>1</v>
      </c>
      <c r="AH377" s="24"/>
      <c r="AI377" s="24"/>
      <c r="AJ377" s="115"/>
    </row>
    <row r="378" spans="1:36" s="80" customFormat="1" ht="31.5" x14ac:dyDescent="0.25">
      <c r="A378" s="17"/>
      <c r="B378" s="66"/>
      <c r="C378" s="67"/>
      <c r="D378" s="67"/>
      <c r="E378" s="14"/>
      <c r="F378" s="14"/>
      <c r="G378" s="68"/>
      <c r="H378" s="68"/>
      <c r="I378" s="68"/>
      <c r="J378" s="68"/>
      <c r="K378" s="68"/>
      <c r="L378" s="61"/>
      <c r="M378" s="68"/>
      <c r="N378" s="61"/>
      <c r="O378" s="74"/>
      <c r="P378" s="68"/>
      <c r="Q378" s="69"/>
      <c r="R378" s="19"/>
      <c r="S378" s="19"/>
      <c r="T378" s="19"/>
      <c r="U378" s="19"/>
      <c r="V378" s="19"/>
      <c r="W378" s="19"/>
      <c r="X378" s="347" t="s">
        <v>264</v>
      </c>
      <c r="Y378" s="348" t="s">
        <v>64</v>
      </c>
      <c r="Z378" s="349" t="s">
        <v>16</v>
      </c>
      <c r="AA378" s="350" t="s">
        <v>29</v>
      </c>
      <c r="AB378" s="355" t="s">
        <v>265</v>
      </c>
      <c r="AC378" s="357"/>
      <c r="AD378" s="353">
        <f t="shared" ref="AD378:AF379" si="114">AD379</f>
        <v>34515.9</v>
      </c>
      <c r="AE378" s="353">
        <f t="shared" si="114"/>
        <v>34515.9</v>
      </c>
      <c r="AF378" s="468">
        <f t="shared" si="114"/>
        <v>34515.9</v>
      </c>
      <c r="AG378" s="478">
        <f t="shared" si="113"/>
        <v>1</v>
      </c>
      <c r="AH378" s="24"/>
      <c r="AI378" s="24"/>
      <c r="AJ378" s="115"/>
    </row>
    <row r="379" spans="1:36" s="80" customFormat="1" ht="31.5" x14ac:dyDescent="0.25">
      <c r="A379" s="17"/>
      <c r="B379" s="66"/>
      <c r="C379" s="67"/>
      <c r="D379" s="67"/>
      <c r="E379" s="14"/>
      <c r="F379" s="14"/>
      <c r="G379" s="68"/>
      <c r="H379" s="68"/>
      <c r="I379" s="68"/>
      <c r="J379" s="68"/>
      <c r="K379" s="68"/>
      <c r="L379" s="61"/>
      <c r="M379" s="68"/>
      <c r="N379" s="61"/>
      <c r="O379" s="74"/>
      <c r="P379" s="68"/>
      <c r="Q379" s="69"/>
      <c r="R379" s="19"/>
      <c r="S379" s="19"/>
      <c r="T379" s="19"/>
      <c r="U379" s="19"/>
      <c r="V379" s="19"/>
      <c r="W379" s="19"/>
      <c r="X379" s="347" t="s">
        <v>61</v>
      </c>
      <c r="Y379" s="348" t="s">
        <v>64</v>
      </c>
      <c r="Z379" s="349" t="s">
        <v>16</v>
      </c>
      <c r="AA379" s="350" t="s">
        <v>29</v>
      </c>
      <c r="AB379" s="355" t="s">
        <v>265</v>
      </c>
      <c r="AC379" s="357">
        <v>600</v>
      </c>
      <c r="AD379" s="353">
        <f t="shared" si="114"/>
        <v>34515.9</v>
      </c>
      <c r="AE379" s="353">
        <f t="shared" si="114"/>
        <v>34515.9</v>
      </c>
      <c r="AF379" s="468">
        <f t="shared" si="114"/>
        <v>34515.9</v>
      </c>
      <c r="AG379" s="478">
        <f t="shared" si="113"/>
        <v>1</v>
      </c>
      <c r="AH379" s="24"/>
      <c r="AI379" s="24"/>
      <c r="AJ379" s="115"/>
    </row>
    <row r="380" spans="1:36" s="80" customFormat="1" x14ac:dyDescent="0.25">
      <c r="A380" s="17"/>
      <c r="B380" s="66"/>
      <c r="C380" s="67"/>
      <c r="D380" s="67"/>
      <c r="E380" s="14"/>
      <c r="F380" s="14"/>
      <c r="G380" s="68"/>
      <c r="H380" s="68"/>
      <c r="I380" s="68"/>
      <c r="J380" s="68"/>
      <c r="K380" s="68"/>
      <c r="L380" s="61"/>
      <c r="M380" s="68"/>
      <c r="N380" s="61"/>
      <c r="O380" s="74"/>
      <c r="P380" s="68"/>
      <c r="Q380" s="69"/>
      <c r="R380" s="19"/>
      <c r="S380" s="19"/>
      <c r="T380" s="19"/>
      <c r="U380" s="19"/>
      <c r="V380" s="19"/>
      <c r="W380" s="19"/>
      <c r="X380" s="347" t="s">
        <v>62</v>
      </c>
      <c r="Y380" s="348" t="s">
        <v>64</v>
      </c>
      <c r="Z380" s="349" t="s">
        <v>16</v>
      </c>
      <c r="AA380" s="350" t="s">
        <v>29</v>
      </c>
      <c r="AB380" s="355" t="s">
        <v>265</v>
      </c>
      <c r="AC380" s="357">
        <v>610</v>
      </c>
      <c r="AD380" s="123">
        <f>31925.1+26.8+1582.2+2799.4-1817.6</f>
        <v>34515.9</v>
      </c>
      <c r="AE380" s="123">
        <f>31925.1+26.8+1582.2+2799.4-1817.6</f>
        <v>34515.9</v>
      </c>
      <c r="AF380" s="468">
        <v>34515.9</v>
      </c>
      <c r="AG380" s="478">
        <f t="shared" si="113"/>
        <v>1</v>
      </c>
      <c r="AH380" s="24"/>
      <c r="AI380" s="24"/>
      <c r="AJ380" s="115"/>
    </row>
    <row r="381" spans="1:36" s="80" customFormat="1" ht="37.15" customHeight="1" x14ac:dyDescent="0.25">
      <c r="A381" s="17"/>
      <c r="B381" s="66"/>
      <c r="C381" s="67"/>
      <c r="D381" s="67"/>
      <c r="E381" s="14"/>
      <c r="F381" s="14"/>
      <c r="G381" s="68"/>
      <c r="H381" s="68"/>
      <c r="I381" s="68"/>
      <c r="J381" s="68"/>
      <c r="K381" s="68"/>
      <c r="L381" s="61"/>
      <c r="M381" s="68"/>
      <c r="N381" s="61"/>
      <c r="O381" s="74"/>
      <c r="P381" s="68"/>
      <c r="Q381" s="69"/>
      <c r="R381" s="19"/>
      <c r="S381" s="19"/>
      <c r="T381" s="19"/>
      <c r="U381" s="19"/>
      <c r="V381" s="19"/>
      <c r="W381" s="19"/>
      <c r="X381" s="358" t="s">
        <v>534</v>
      </c>
      <c r="Y381" s="348" t="s">
        <v>64</v>
      </c>
      <c r="Z381" s="395" t="s">
        <v>16</v>
      </c>
      <c r="AA381" s="350" t="s">
        <v>29</v>
      </c>
      <c r="AB381" s="355" t="s">
        <v>424</v>
      </c>
      <c r="AC381" s="357"/>
      <c r="AD381" s="353">
        <f t="shared" ref="AD381:AF382" si="115">AD382</f>
        <v>360.6</v>
      </c>
      <c r="AE381" s="353">
        <f t="shared" si="115"/>
        <v>360.6</v>
      </c>
      <c r="AF381" s="468">
        <f t="shared" si="115"/>
        <v>360.6</v>
      </c>
      <c r="AG381" s="478">
        <f t="shared" si="113"/>
        <v>1</v>
      </c>
      <c r="AH381" s="24"/>
      <c r="AI381" s="24"/>
      <c r="AJ381" s="115"/>
    </row>
    <row r="382" spans="1:36" s="80" customFormat="1" ht="31.5" x14ac:dyDescent="0.25">
      <c r="A382" s="17"/>
      <c r="B382" s="66"/>
      <c r="C382" s="67"/>
      <c r="D382" s="67"/>
      <c r="E382" s="14"/>
      <c r="F382" s="14"/>
      <c r="G382" s="68"/>
      <c r="H382" s="68"/>
      <c r="I382" s="68"/>
      <c r="J382" s="68"/>
      <c r="K382" s="68"/>
      <c r="L382" s="61"/>
      <c r="M382" s="68"/>
      <c r="N382" s="61"/>
      <c r="O382" s="74"/>
      <c r="P382" s="68"/>
      <c r="Q382" s="69"/>
      <c r="R382" s="19"/>
      <c r="S382" s="19"/>
      <c r="T382" s="19"/>
      <c r="U382" s="19"/>
      <c r="V382" s="19"/>
      <c r="W382" s="19"/>
      <c r="X382" s="358" t="s">
        <v>61</v>
      </c>
      <c r="Y382" s="348" t="s">
        <v>64</v>
      </c>
      <c r="Z382" s="395" t="s">
        <v>16</v>
      </c>
      <c r="AA382" s="350" t="s">
        <v>29</v>
      </c>
      <c r="AB382" s="355" t="s">
        <v>424</v>
      </c>
      <c r="AC382" s="357">
        <v>600</v>
      </c>
      <c r="AD382" s="353">
        <f t="shared" si="115"/>
        <v>360.6</v>
      </c>
      <c r="AE382" s="353">
        <f t="shared" si="115"/>
        <v>360.6</v>
      </c>
      <c r="AF382" s="468">
        <f t="shared" si="115"/>
        <v>360.6</v>
      </c>
      <c r="AG382" s="478">
        <f t="shared" si="113"/>
        <v>1</v>
      </c>
      <c r="AH382" s="24"/>
      <c r="AI382" s="24"/>
      <c r="AJ382" s="115"/>
    </row>
    <row r="383" spans="1:36" s="80" customFormat="1" x14ac:dyDescent="0.25">
      <c r="A383" s="17"/>
      <c r="B383" s="66"/>
      <c r="C383" s="67"/>
      <c r="D383" s="67"/>
      <c r="E383" s="14"/>
      <c r="F383" s="14"/>
      <c r="G383" s="68"/>
      <c r="H383" s="68"/>
      <c r="I383" s="68"/>
      <c r="J383" s="68"/>
      <c r="K383" s="68"/>
      <c r="L383" s="61"/>
      <c r="M383" s="68"/>
      <c r="N383" s="61"/>
      <c r="O383" s="74"/>
      <c r="P383" s="68"/>
      <c r="Q383" s="69"/>
      <c r="R383" s="19"/>
      <c r="S383" s="19"/>
      <c r="T383" s="19"/>
      <c r="U383" s="19"/>
      <c r="V383" s="19"/>
      <c r="W383" s="19"/>
      <c r="X383" s="358" t="s">
        <v>62</v>
      </c>
      <c r="Y383" s="348" t="s">
        <v>64</v>
      </c>
      <c r="Z383" s="395" t="s">
        <v>16</v>
      </c>
      <c r="AA383" s="350" t="s">
        <v>29</v>
      </c>
      <c r="AB383" s="355" t="s">
        <v>424</v>
      </c>
      <c r="AC383" s="357">
        <v>610</v>
      </c>
      <c r="AD383" s="353">
        <f>295+65.6</f>
        <v>360.6</v>
      </c>
      <c r="AE383" s="353">
        <f>295+65.6</f>
        <v>360.6</v>
      </c>
      <c r="AF383" s="468">
        <v>360.6</v>
      </c>
      <c r="AG383" s="478">
        <f t="shared" si="113"/>
        <v>1</v>
      </c>
      <c r="AH383" s="24"/>
      <c r="AI383" s="24"/>
      <c r="AJ383" s="115"/>
    </row>
    <row r="384" spans="1:36" s="80" customFormat="1" ht="31.5" x14ac:dyDescent="0.25">
      <c r="A384" s="17"/>
      <c r="B384" s="66"/>
      <c r="C384" s="67"/>
      <c r="D384" s="67"/>
      <c r="E384" s="14"/>
      <c r="F384" s="14"/>
      <c r="G384" s="68"/>
      <c r="H384" s="68"/>
      <c r="I384" s="68"/>
      <c r="J384" s="68"/>
      <c r="K384" s="68"/>
      <c r="L384" s="61"/>
      <c r="M384" s="68"/>
      <c r="N384" s="61"/>
      <c r="O384" s="74"/>
      <c r="P384" s="68"/>
      <c r="Q384" s="69"/>
      <c r="R384" s="19"/>
      <c r="S384" s="19"/>
      <c r="T384" s="19"/>
      <c r="U384" s="19"/>
      <c r="V384" s="19"/>
      <c r="W384" s="19"/>
      <c r="X384" s="358" t="s">
        <v>796</v>
      </c>
      <c r="Y384" s="348" t="s">
        <v>64</v>
      </c>
      <c r="Z384" s="349" t="s">
        <v>16</v>
      </c>
      <c r="AA384" s="350" t="s">
        <v>29</v>
      </c>
      <c r="AB384" s="355" t="s">
        <v>804</v>
      </c>
      <c r="AC384" s="352"/>
      <c r="AD384" s="353">
        <f>AD385</f>
        <v>2398</v>
      </c>
      <c r="AE384" s="353">
        <f>AE385</f>
        <v>2398</v>
      </c>
      <c r="AF384" s="468">
        <f t="shared" ref="AF384:AF385" si="116">AF385</f>
        <v>2398</v>
      </c>
      <c r="AG384" s="478">
        <f t="shared" si="113"/>
        <v>1</v>
      </c>
      <c r="AH384" s="24"/>
      <c r="AI384" s="24"/>
      <c r="AJ384" s="115"/>
    </row>
    <row r="385" spans="1:36" s="80" customFormat="1" ht="31.5" x14ac:dyDescent="0.25">
      <c r="A385" s="17"/>
      <c r="B385" s="66"/>
      <c r="C385" s="67"/>
      <c r="D385" s="67"/>
      <c r="E385" s="14"/>
      <c r="F385" s="14"/>
      <c r="G385" s="68"/>
      <c r="H385" s="68"/>
      <c r="I385" s="68"/>
      <c r="J385" s="68"/>
      <c r="K385" s="68"/>
      <c r="L385" s="61"/>
      <c r="M385" s="68"/>
      <c r="N385" s="61"/>
      <c r="O385" s="74"/>
      <c r="P385" s="68"/>
      <c r="Q385" s="69"/>
      <c r="R385" s="19"/>
      <c r="S385" s="19"/>
      <c r="T385" s="19"/>
      <c r="U385" s="19"/>
      <c r="V385" s="19"/>
      <c r="W385" s="19"/>
      <c r="X385" s="347" t="s">
        <v>61</v>
      </c>
      <c r="Y385" s="348" t="s">
        <v>64</v>
      </c>
      <c r="Z385" s="349" t="s">
        <v>16</v>
      </c>
      <c r="AA385" s="350" t="s">
        <v>29</v>
      </c>
      <c r="AB385" s="355" t="s">
        <v>804</v>
      </c>
      <c r="AC385" s="357">
        <v>600</v>
      </c>
      <c r="AD385" s="353">
        <f>AD386</f>
        <v>2398</v>
      </c>
      <c r="AE385" s="353">
        <f>AE386</f>
        <v>2398</v>
      </c>
      <c r="AF385" s="468">
        <f t="shared" si="116"/>
        <v>2398</v>
      </c>
      <c r="AG385" s="478">
        <f t="shared" si="113"/>
        <v>1</v>
      </c>
      <c r="AH385" s="24"/>
      <c r="AI385" s="24"/>
      <c r="AJ385" s="115"/>
    </row>
    <row r="386" spans="1:36" s="80" customFormat="1" x14ac:dyDescent="0.25">
      <c r="A386" s="17"/>
      <c r="B386" s="66"/>
      <c r="C386" s="67"/>
      <c r="D386" s="67"/>
      <c r="E386" s="14"/>
      <c r="F386" s="14"/>
      <c r="G386" s="68"/>
      <c r="H386" s="68"/>
      <c r="I386" s="68"/>
      <c r="J386" s="68"/>
      <c r="K386" s="68"/>
      <c r="L386" s="61"/>
      <c r="M386" s="68"/>
      <c r="N386" s="61"/>
      <c r="O386" s="74"/>
      <c r="P386" s="68"/>
      <c r="Q386" s="69"/>
      <c r="R386" s="19"/>
      <c r="S386" s="19"/>
      <c r="T386" s="19"/>
      <c r="U386" s="19"/>
      <c r="V386" s="19"/>
      <c r="W386" s="19"/>
      <c r="X386" s="347" t="s">
        <v>62</v>
      </c>
      <c r="Y386" s="348" t="s">
        <v>64</v>
      </c>
      <c r="Z386" s="349" t="s">
        <v>16</v>
      </c>
      <c r="AA386" s="350" t="s">
        <v>29</v>
      </c>
      <c r="AB386" s="355" t="s">
        <v>804</v>
      </c>
      <c r="AC386" s="357">
        <v>610</v>
      </c>
      <c r="AD386" s="353">
        <v>2398</v>
      </c>
      <c r="AE386" s="353">
        <v>2398</v>
      </c>
      <c r="AF386" s="468">
        <v>2398</v>
      </c>
      <c r="AG386" s="478">
        <f t="shared" si="113"/>
        <v>1</v>
      </c>
      <c r="AH386" s="24"/>
      <c r="AI386" s="24"/>
      <c r="AJ386" s="115"/>
    </row>
    <row r="387" spans="1:36" s="80" customFormat="1" ht="51.75" customHeight="1" x14ac:dyDescent="0.25">
      <c r="A387" s="17"/>
      <c r="B387" s="66"/>
      <c r="C387" s="67"/>
      <c r="D387" s="67"/>
      <c r="E387" s="14"/>
      <c r="F387" s="14"/>
      <c r="G387" s="68"/>
      <c r="H387" s="68"/>
      <c r="I387" s="68"/>
      <c r="J387" s="68"/>
      <c r="K387" s="68"/>
      <c r="L387" s="61"/>
      <c r="M387" s="68"/>
      <c r="N387" s="61"/>
      <c r="O387" s="74"/>
      <c r="P387" s="68"/>
      <c r="Q387" s="69"/>
      <c r="R387" s="19"/>
      <c r="S387" s="19"/>
      <c r="T387" s="19"/>
      <c r="U387" s="19"/>
      <c r="V387" s="19"/>
      <c r="W387" s="19"/>
      <c r="X387" s="268" t="s">
        <v>765</v>
      </c>
      <c r="Y387" s="11" t="s">
        <v>64</v>
      </c>
      <c r="Z387" s="148" t="s">
        <v>16</v>
      </c>
      <c r="AA387" s="4" t="s">
        <v>29</v>
      </c>
      <c r="AB387" s="226" t="s">
        <v>767</v>
      </c>
      <c r="AC387" s="322"/>
      <c r="AD387" s="123">
        <f t="shared" ref="AD387:AE389" si="117">AD388</f>
        <v>1180</v>
      </c>
      <c r="AE387" s="123">
        <f t="shared" si="117"/>
        <v>1180</v>
      </c>
      <c r="AF387" s="313">
        <f t="shared" ref="AF387" si="118">AF388</f>
        <v>1119.5</v>
      </c>
      <c r="AG387" s="478">
        <f t="shared" si="113"/>
        <v>0.94872881355932204</v>
      </c>
      <c r="AH387" s="24"/>
      <c r="AI387" s="24"/>
      <c r="AJ387" s="115"/>
    </row>
    <row r="388" spans="1:36" s="80" customFormat="1" x14ac:dyDescent="0.25">
      <c r="A388" s="17"/>
      <c r="B388" s="66"/>
      <c r="C388" s="67"/>
      <c r="D388" s="67"/>
      <c r="E388" s="14"/>
      <c r="F388" s="14"/>
      <c r="G388" s="68"/>
      <c r="H388" s="68"/>
      <c r="I388" s="68"/>
      <c r="J388" s="68"/>
      <c r="K388" s="68"/>
      <c r="L388" s="61"/>
      <c r="M388" s="68"/>
      <c r="N388" s="61"/>
      <c r="O388" s="74"/>
      <c r="P388" s="68"/>
      <c r="Q388" s="69"/>
      <c r="R388" s="19"/>
      <c r="S388" s="19"/>
      <c r="T388" s="19"/>
      <c r="U388" s="19"/>
      <c r="V388" s="19"/>
      <c r="W388" s="19"/>
      <c r="X388" s="268" t="s">
        <v>766</v>
      </c>
      <c r="Y388" s="11" t="s">
        <v>64</v>
      </c>
      <c r="Z388" s="148" t="s">
        <v>16</v>
      </c>
      <c r="AA388" s="4" t="s">
        <v>29</v>
      </c>
      <c r="AB388" s="226" t="s">
        <v>768</v>
      </c>
      <c r="AC388" s="322"/>
      <c r="AD388" s="123">
        <f t="shared" si="117"/>
        <v>1180</v>
      </c>
      <c r="AE388" s="123">
        <f t="shared" si="117"/>
        <v>1180</v>
      </c>
      <c r="AF388" s="313">
        <f t="shared" ref="AF388" si="119">AF389</f>
        <v>1119.5</v>
      </c>
      <c r="AG388" s="478">
        <f t="shared" si="113"/>
        <v>0.94872881355932204</v>
      </c>
      <c r="AH388" s="24"/>
      <c r="AI388" s="24"/>
      <c r="AJ388" s="115"/>
    </row>
    <row r="389" spans="1:36" s="80" customFormat="1" ht="31.5" x14ac:dyDescent="0.25">
      <c r="A389" s="17"/>
      <c r="B389" s="66"/>
      <c r="C389" s="67"/>
      <c r="D389" s="67"/>
      <c r="E389" s="14"/>
      <c r="F389" s="14"/>
      <c r="G389" s="68"/>
      <c r="H389" s="68"/>
      <c r="I389" s="68"/>
      <c r="J389" s="68"/>
      <c r="K389" s="68"/>
      <c r="L389" s="61"/>
      <c r="M389" s="68"/>
      <c r="N389" s="61"/>
      <c r="O389" s="74"/>
      <c r="P389" s="68"/>
      <c r="Q389" s="69"/>
      <c r="R389" s="19"/>
      <c r="S389" s="19"/>
      <c r="T389" s="19"/>
      <c r="U389" s="19"/>
      <c r="V389" s="19"/>
      <c r="W389" s="19"/>
      <c r="X389" s="268" t="s">
        <v>61</v>
      </c>
      <c r="Y389" s="11" t="s">
        <v>64</v>
      </c>
      <c r="Z389" s="148" t="s">
        <v>16</v>
      </c>
      <c r="AA389" s="4" t="s">
        <v>29</v>
      </c>
      <c r="AB389" s="226" t="s">
        <v>768</v>
      </c>
      <c r="AC389" s="322">
        <v>600</v>
      </c>
      <c r="AD389" s="123">
        <f t="shared" si="117"/>
        <v>1180</v>
      </c>
      <c r="AE389" s="123">
        <f t="shared" si="117"/>
        <v>1180</v>
      </c>
      <c r="AF389" s="313">
        <f t="shared" ref="AF389" si="120">AF390</f>
        <v>1119.5</v>
      </c>
      <c r="AG389" s="478">
        <f t="shared" si="113"/>
        <v>0.94872881355932204</v>
      </c>
      <c r="AH389" s="24"/>
      <c r="AI389" s="24"/>
      <c r="AJ389" s="115"/>
    </row>
    <row r="390" spans="1:36" s="80" customFormat="1" x14ac:dyDescent="0.25">
      <c r="A390" s="17"/>
      <c r="B390" s="66"/>
      <c r="C390" s="67"/>
      <c r="D390" s="67"/>
      <c r="E390" s="14"/>
      <c r="F390" s="14"/>
      <c r="G390" s="68"/>
      <c r="H390" s="68"/>
      <c r="I390" s="68"/>
      <c r="J390" s="68"/>
      <c r="K390" s="68"/>
      <c r="L390" s="61"/>
      <c r="M390" s="68"/>
      <c r="N390" s="61"/>
      <c r="O390" s="74"/>
      <c r="P390" s="68"/>
      <c r="Q390" s="69"/>
      <c r="R390" s="19"/>
      <c r="S390" s="19"/>
      <c r="T390" s="19"/>
      <c r="U390" s="19"/>
      <c r="V390" s="19"/>
      <c r="W390" s="19"/>
      <c r="X390" s="268" t="s">
        <v>62</v>
      </c>
      <c r="Y390" s="11" t="s">
        <v>64</v>
      </c>
      <c r="Z390" s="148" t="s">
        <v>16</v>
      </c>
      <c r="AA390" s="4" t="s">
        <v>29</v>
      </c>
      <c r="AB390" s="226" t="s">
        <v>768</v>
      </c>
      <c r="AC390" s="322">
        <v>610</v>
      </c>
      <c r="AD390" s="123">
        <f>180+1000</f>
        <v>1180</v>
      </c>
      <c r="AE390" s="123">
        <f>180+1000</f>
        <v>1180</v>
      </c>
      <c r="AF390" s="313">
        <v>1119.5</v>
      </c>
      <c r="AG390" s="478">
        <f t="shared" si="113"/>
        <v>0.94872881355932204</v>
      </c>
      <c r="AH390" s="24"/>
      <c r="AI390" s="24"/>
      <c r="AJ390" s="115"/>
    </row>
    <row r="391" spans="1:36" s="80" customFormat="1" x14ac:dyDescent="0.25">
      <c r="A391" s="17"/>
      <c r="B391" s="66"/>
      <c r="C391" s="67"/>
      <c r="D391" s="67"/>
      <c r="E391" s="14"/>
      <c r="F391" s="14"/>
      <c r="G391" s="68"/>
      <c r="H391" s="68"/>
      <c r="I391" s="68"/>
      <c r="J391" s="68"/>
      <c r="K391" s="68"/>
      <c r="L391" s="61"/>
      <c r="M391" s="68"/>
      <c r="N391" s="61"/>
      <c r="O391" s="74"/>
      <c r="P391" s="68"/>
      <c r="Q391" s="69"/>
      <c r="R391" s="19"/>
      <c r="S391" s="19"/>
      <c r="T391" s="19"/>
      <c r="U391" s="19"/>
      <c r="V391" s="19"/>
      <c r="W391" s="19"/>
      <c r="X391" s="358" t="s">
        <v>691</v>
      </c>
      <c r="Y391" s="348" t="s">
        <v>64</v>
      </c>
      <c r="Z391" s="395" t="s">
        <v>16</v>
      </c>
      <c r="AA391" s="350" t="s">
        <v>29</v>
      </c>
      <c r="AB391" s="355" t="s">
        <v>693</v>
      </c>
      <c r="AC391" s="357"/>
      <c r="AD391" s="353">
        <f t="shared" ref="AD391:AF393" si="121">AD392</f>
        <v>20000</v>
      </c>
      <c r="AE391" s="353">
        <f t="shared" si="121"/>
        <v>20000</v>
      </c>
      <c r="AF391" s="468">
        <f t="shared" si="121"/>
        <v>20000</v>
      </c>
      <c r="AG391" s="478">
        <f t="shared" si="113"/>
        <v>1</v>
      </c>
      <c r="AH391" s="24"/>
      <c r="AI391" s="24"/>
      <c r="AJ391" s="115"/>
    </row>
    <row r="392" spans="1:36" s="80" customFormat="1" x14ac:dyDescent="0.25">
      <c r="A392" s="17"/>
      <c r="B392" s="66"/>
      <c r="C392" s="67"/>
      <c r="D392" s="67"/>
      <c r="E392" s="14"/>
      <c r="F392" s="14"/>
      <c r="G392" s="68"/>
      <c r="H392" s="68"/>
      <c r="I392" s="68"/>
      <c r="J392" s="68"/>
      <c r="K392" s="68"/>
      <c r="L392" s="61"/>
      <c r="M392" s="68"/>
      <c r="N392" s="61"/>
      <c r="O392" s="74"/>
      <c r="P392" s="68"/>
      <c r="Q392" s="69"/>
      <c r="R392" s="19"/>
      <c r="S392" s="19"/>
      <c r="T392" s="19"/>
      <c r="U392" s="19"/>
      <c r="V392" s="19"/>
      <c r="W392" s="19"/>
      <c r="X392" s="358" t="s">
        <v>692</v>
      </c>
      <c r="Y392" s="348" t="s">
        <v>64</v>
      </c>
      <c r="Z392" s="395" t="s">
        <v>16</v>
      </c>
      <c r="AA392" s="350" t="s">
        <v>29</v>
      </c>
      <c r="AB392" s="355" t="s">
        <v>694</v>
      </c>
      <c r="AC392" s="357"/>
      <c r="AD392" s="353">
        <f t="shared" si="121"/>
        <v>20000</v>
      </c>
      <c r="AE392" s="353">
        <f t="shared" si="121"/>
        <v>20000</v>
      </c>
      <c r="AF392" s="468">
        <f t="shared" si="121"/>
        <v>20000</v>
      </c>
      <c r="AG392" s="478">
        <f t="shared" si="113"/>
        <v>1</v>
      </c>
      <c r="AH392" s="24"/>
      <c r="AI392" s="24"/>
      <c r="AJ392" s="115"/>
    </row>
    <row r="393" spans="1:36" s="80" customFormat="1" ht="31.5" x14ac:dyDescent="0.25">
      <c r="A393" s="17"/>
      <c r="B393" s="66"/>
      <c r="C393" s="67"/>
      <c r="D393" s="67"/>
      <c r="E393" s="14"/>
      <c r="F393" s="14"/>
      <c r="G393" s="68"/>
      <c r="H393" s="68"/>
      <c r="I393" s="68"/>
      <c r="J393" s="68"/>
      <c r="K393" s="68"/>
      <c r="L393" s="61"/>
      <c r="M393" s="68"/>
      <c r="N393" s="61"/>
      <c r="O393" s="74"/>
      <c r="P393" s="68"/>
      <c r="Q393" s="69"/>
      <c r="R393" s="19"/>
      <c r="S393" s="19"/>
      <c r="T393" s="19"/>
      <c r="U393" s="19"/>
      <c r="V393" s="19"/>
      <c r="W393" s="19"/>
      <c r="X393" s="358" t="s">
        <v>61</v>
      </c>
      <c r="Y393" s="348" t="s">
        <v>64</v>
      </c>
      <c r="Z393" s="395" t="s">
        <v>16</v>
      </c>
      <c r="AA393" s="350" t="s">
        <v>29</v>
      </c>
      <c r="AB393" s="355" t="s">
        <v>694</v>
      </c>
      <c r="AC393" s="357">
        <v>600</v>
      </c>
      <c r="AD393" s="353">
        <f t="shared" si="121"/>
        <v>20000</v>
      </c>
      <c r="AE393" s="353">
        <f t="shared" si="121"/>
        <v>20000</v>
      </c>
      <c r="AF393" s="468">
        <f t="shared" si="121"/>
        <v>20000</v>
      </c>
      <c r="AG393" s="478">
        <f t="shared" si="113"/>
        <v>1</v>
      </c>
      <c r="AH393" s="24"/>
      <c r="AI393" s="24"/>
      <c r="AJ393" s="115"/>
    </row>
    <row r="394" spans="1:36" s="80" customFormat="1" x14ac:dyDescent="0.25">
      <c r="A394" s="17"/>
      <c r="B394" s="66"/>
      <c r="C394" s="67"/>
      <c r="D394" s="67"/>
      <c r="E394" s="14"/>
      <c r="F394" s="14"/>
      <c r="G394" s="68"/>
      <c r="H394" s="68"/>
      <c r="I394" s="68"/>
      <c r="J394" s="68"/>
      <c r="K394" s="68"/>
      <c r="L394" s="61"/>
      <c r="M394" s="68"/>
      <c r="N394" s="61"/>
      <c r="O394" s="74"/>
      <c r="P394" s="68"/>
      <c r="Q394" s="69"/>
      <c r="R394" s="19"/>
      <c r="S394" s="19"/>
      <c r="T394" s="19"/>
      <c r="U394" s="19"/>
      <c r="V394" s="19"/>
      <c r="W394" s="19"/>
      <c r="X394" s="358" t="s">
        <v>62</v>
      </c>
      <c r="Y394" s="348" t="s">
        <v>64</v>
      </c>
      <c r="Z394" s="395" t="s">
        <v>16</v>
      </c>
      <c r="AA394" s="350" t="s">
        <v>29</v>
      </c>
      <c r="AB394" s="355" t="s">
        <v>694</v>
      </c>
      <c r="AC394" s="357">
        <v>610</v>
      </c>
      <c r="AD394" s="353">
        <f>10000+10000</f>
        <v>20000</v>
      </c>
      <c r="AE394" s="353">
        <f>10000+10000</f>
        <v>20000</v>
      </c>
      <c r="AF394" s="468">
        <v>20000</v>
      </c>
      <c r="AG394" s="478">
        <f t="shared" si="113"/>
        <v>1</v>
      </c>
      <c r="AH394" s="24"/>
      <c r="AI394" s="24"/>
      <c r="AJ394" s="115"/>
    </row>
    <row r="395" spans="1:36" s="80" customFormat="1" ht="31.5" x14ac:dyDescent="0.25">
      <c r="A395" s="17"/>
      <c r="B395" s="66"/>
      <c r="C395" s="67"/>
      <c r="D395" s="67"/>
      <c r="E395" s="14"/>
      <c r="F395" s="14"/>
      <c r="G395" s="68"/>
      <c r="H395" s="68"/>
      <c r="I395" s="68"/>
      <c r="J395" s="68"/>
      <c r="K395" s="68"/>
      <c r="L395" s="61"/>
      <c r="M395" s="68"/>
      <c r="N395" s="61"/>
      <c r="O395" s="74"/>
      <c r="P395" s="68"/>
      <c r="Q395" s="69"/>
      <c r="R395" s="19"/>
      <c r="S395" s="19"/>
      <c r="T395" s="19"/>
      <c r="U395" s="19"/>
      <c r="V395" s="19"/>
      <c r="W395" s="19"/>
      <c r="X395" s="356" t="s">
        <v>525</v>
      </c>
      <c r="Y395" s="348" t="s">
        <v>64</v>
      </c>
      <c r="Z395" s="349" t="s">
        <v>16</v>
      </c>
      <c r="AA395" s="350" t="s">
        <v>29</v>
      </c>
      <c r="AB395" s="355" t="s">
        <v>266</v>
      </c>
      <c r="AC395" s="357"/>
      <c r="AD395" s="353">
        <f>AD396+AD413+AD424+AD420</f>
        <v>99884.099999999991</v>
      </c>
      <c r="AE395" s="353">
        <f>AE396+AE413+AE424+AE420</f>
        <v>99884.099999999991</v>
      </c>
      <c r="AF395" s="468">
        <f t="shared" ref="AF395" si="122">AF396+AF413+AF424+AF420</f>
        <v>99741.5</v>
      </c>
      <c r="AG395" s="478">
        <f t="shared" si="113"/>
        <v>0.99857234534825867</v>
      </c>
      <c r="AH395" s="24"/>
      <c r="AI395" s="24"/>
      <c r="AJ395" s="115"/>
    </row>
    <row r="396" spans="1:36" s="80" customFormat="1" x14ac:dyDescent="0.25">
      <c r="A396" s="17"/>
      <c r="B396" s="66"/>
      <c r="C396" s="67"/>
      <c r="D396" s="67"/>
      <c r="E396" s="14"/>
      <c r="F396" s="14"/>
      <c r="G396" s="68"/>
      <c r="H396" s="68"/>
      <c r="I396" s="68"/>
      <c r="J396" s="68"/>
      <c r="K396" s="68"/>
      <c r="L396" s="61"/>
      <c r="M396" s="68"/>
      <c r="N396" s="61"/>
      <c r="O396" s="74"/>
      <c r="P396" s="68"/>
      <c r="Q396" s="69"/>
      <c r="R396" s="19"/>
      <c r="S396" s="19"/>
      <c r="T396" s="19"/>
      <c r="U396" s="19"/>
      <c r="V396" s="19"/>
      <c r="W396" s="19"/>
      <c r="X396" s="356" t="s">
        <v>370</v>
      </c>
      <c r="Y396" s="348" t="s">
        <v>64</v>
      </c>
      <c r="Z396" s="349" t="s">
        <v>16</v>
      </c>
      <c r="AA396" s="350" t="s">
        <v>29</v>
      </c>
      <c r="AB396" s="355" t="s">
        <v>526</v>
      </c>
      <c r="AC396" s="357"/>
      <c r="AD396" s="353">
        <f>AD406+AD397</f>
        <v>89805</v>
      </c>
      <c r="AE396" s="353">
        <f>AE406+AE397</f>
        <v>89805</v>
      </c>
      <c r="AF396" s="468">
        <f>AF406+AF397</f>
        <v>89760.1</v>
      </c>
      <c r="AG396" s="478">
        <f t="shared" si="113"/>
        <v>0.99950002783809366</v>
      </c>
      <c r="AH396" s="24"/>
      <c r="AI396" s="24"/>
      <c r="AJ396" s="115"/>
    </row>
    <row r="397" spans="1:36" s="80" customFormat="1" x14ac:dyDescent="0.25">
      <c r="A397" s="17"/>
      <c r="B397" s="66"/>
      <c r="C397" s="67"/>
      <c r="D397" s="67"/>
      <c r="E397" s="14"/>
      <c r="F397" s="14"/>
      <c r="G397" s="68"/>
      <c r="H397" s="68"/>
      <c r="I397" s="68"/>
      <c r="J397" s="68"/>
      <c r="K397" s="68"/>
      <c r="L397" s="61"/>
      <c r="M397" s="68"/>
      <c r="N397" s="61"/>
      <c r="O397" s="74"/>
      <c r="P397" s="68"/>
      <c r="Q397" s="69"/>
      <c r="R397" s="19"/>
      <c r="S397" s="19"/>
      <c r="T397" s="19"/>
      <c r="U397" s="19"/>
      <c r="V397" s="19"/>
      <c r="W397" s="19"/>
      <c r="X397" s="358" t="s">
        <v>267</v>
      </c>
      <c r="Y397" s="348" t="s">
        <v>64</v>
      </c>
      <c r="Z397" s="349" t="s">
        <v>16</v>
      </c>
      <c r="AA397" s="350" t="s">
        <v>29</v>
      </c>
      <c r="AB397" s="355" t="s">
        <v>594</v>
      </c>
      <c r="AC397" s="357"/>
      <c r="AD397" s="353">
        <f>AD398+AD403</f>
        <v>13302</v>
      </c>
      <c r="AE397" s="353">
        <f>AE398+AE403</f>
        <v>13302</v>
      </c>
      <c r="AF397" s="468">
        <f>AF398+AF403</f>
        <v>13272.6</v>
      </c>
      <c r="AG397" s="478">
        <f t="shared" si="113"/>
        <v>0.99778980604420386</v>
      </c>
      <c r="AH397" s="24"/>
      <c r="AI397" s="24"/>
      <c r="AJ397" s="115"/>
    </row>
    <row r="398" spans="1:36" s="80" customFormat="1" ht="31.5" x14ac:dyDescent="0.25">
      <c r="A398" s="17"/>
      <c r="B398" s="66"/>
      <c r="C398" s="67"/>
      <c r="D398" s="67"/>
      <c r="E398" s="14"/>
      <c r="F398" s="14"/>
      <c r="G398" s="68"/>
      <c r="H398" s="68"/>
      <c r="I398" s="68"/>
      <c r="J398" s="68"/>
      <c r="K398" s="68"/>
      <c r="L398" s="61"/>
      <c r="M398" s="68"/>
      <c r="N398" s="61"/>
      <c r="O398" s="74"/>
      <c r="P398" s="68"/>
      <c r="Q398" s="69"/>
      <c r="R398" s="19"/>
      <c r="S398" s="19"/>
      <c r="T398" s="19"/>
      <c r="U398" s="19"/>
      <c r="V398" s="19"/>
      <c r="W398" s="19"/>
      <c r="X398" s="347" t="s">
        <v>268</v>
      </c>
      <c r="Y398" s="348" t="s">
        <v>64</v>
      </c>
      <c r="Z398" s="349" t="s">
        <v>16</v>
      </c>
      <c r="AA398" s="350" t="s">
        <v>29</v>
      </c>
      <c r="AB398" s="355" t="s">
        <v>595</v>
      </c>
      <c r="AC398" s="357"/>
      <c r="AD398" s="353">
        <f>AD401+AD399</f>
        <v>12867</v>
      </c>
      <c r="AE398" s="353">
        <f>AE401+AE399</f>
        <v>12867</v>
      </c>
      <c r="AF398" s="468">
        <f>AF401+AF399</f>
        <v>12866.6</v>
      </c>
      <c r="AG398" s="478">
        <f t="shared" si="113"/>
        <v>0.99996891272246835</v>
      </c>
      <c r="AH398" s="24"/>
      <c r="AI398" s="24"/>
      <c r="AJ398" s="115"/>
    </row>
    <row r="399" spans="1:36" s="80" customFormat="1" x14ac:dyDescent="0.25">
      <c r="A399" s="17"/>
      <c r="B399" s="66"/>
      <c r="C399" s="67"/>
      <c r="D399" s="67"/>
      <c r="E399" s="14"/>
      <c r="F399" s="14"/>
      <c r="G399" s="68"/>
      <c r="H399" s="68"/>
      <c r="I399" s="68"/>
      <c r="J399" s="68"/>
      <c r="K399" s="68"/>
      <c r="L399" s="61"/>
      <c r="M399" s="68"/>
      <c r="N399" s="61"/>
      <c r="O399" s="74"/>
      <c r="P399" s="68"/>
      <c r="Q399" s="69"/>
      <c r="R399" s="19"/>
      <c r="S399" s="19"/>
      <c r="T399" s="19"/>
      <c r="U399" s="19"/>
      <c r="V399" s="19"/>
      <c r="W399" s="19"/>
      <c r="X399" s="358" t="s">
        <v>121</v>
      </c>
      <c r="Y399" s="348" t="s">
        <v>64</v>
      </c>
      <c r="Z399" s="349" t="s">
        <v>16</v>
      </c>
      <c r="AA399" s="350" t="s">
        <v>29</v>
      </c>
      <c r="AB399" s="355" t="s">
        <v>595</v>
      </c>
      <c r="AC399" s="357">
        <v>200</v>
      </c>
      <c r="AD399" s="353">
        <f>AD400</f>
        <v>2300</v>
      </c>
      <c r="AE399" s="353">
        <f>AE400</f>
        <v>2300</v>
      </c>
      <c r="AF399" s="468">
        <f>AF400</f>
        <v>2300</v>
      </c>
      <c r="AG399" s="478">
        <f t="shared" si="113"/>
        <v>1</v>
      </c>
      <c r="AH399" s="24"/>
      <c r="AI399" s="24"/>
      <c r="AJ399" s="115"/>
    </row>
    <row r="400" spans="1:36" s="80" customFormat="1" ht="31.5" x14ac:dyDescent="0.25">
      <c r="A400" s="17"/>
      <c r="B400" s="66"/>
      <c r="C400" s="67"/>
      <c r="D400" s="67"/>
      <c r="E400" s="14"/>
      <c r="F400" s="14"/>
      <c r="G400" s="68"/>
      <c r="H400" s="68"/>
      <c r="I400" s="68"/>
      <c r="J400" s="68"/>
      <c r="K400" s="68"/>
      <c r="L400" s="61"/>
      <c r="M400" s="68"/>
      <c r="N400" s="61"/>
      <c r="O400" s="74"/>
      <c r="P400" s="68"/>
      <c r="Q400" s="69"/>
      <c r="R400" s="19"/>
      <c r="S400" s="19"/>
      <c r="T400" s="19"/>
      <c r="U400" s="19"/>
      <c r="V400" s="19"/>
      <c r="W400" s="19"/>
      <c r="X400" s="358" t="s">
        <v>52</v>
      </c>
      <c r="Y400" s="348" t="s">
        <v>64</v>
      </c>
      <c r="Z400" s="349" t="s">
        <v>16</v>
      </c>
      <c r="AA400" s="350" t="s">
        <v>29</v>
      </c>
      <c r="AB400" s="355" t="s">
        <v>595</v>
      </c>
      <c r="AC400" s="357">
        <v>240</v>
      </c>
      <c r="AD400" s="353">
        <f>900+500+900</f>
        <v>2300</v>
      </c>
      <c r="AE400" s="353">
        <f>900+500+900</f>
        <v>2300</v>
      </c>
      <c r="AF400" s="468">
        <v>2300</v>
      </c>
      <c r="AG400" s="478">
        <f t="shared" si="113"/>
        <v>1</v>
      </c>
      <c r="AH400" s="24"/>
      <c r="AI400" s="24"/>
      <c r="AJ400" s="115"/>
    </row>
    <row r="401" spans="1:36" s="80" customFormat="1" ht="31.5" x14ac:dyDescent="0.25">
      <c r="A401" s="17"/>
      <c r="B401" s="66"/>
      <c r="C401" s="67"/>
      <c r="D401" s="67"/>
      <c r="E401" s="14"/>
      <c r="F401" s="14"/>
      <c r="G401" s="68"/>
      <c r="H401" s="68"/>
      <c r="I401" s="68"/>
      <c r="J401" s="68"/>
      <c r="K401" s="68"/>
      <c r="L401" s="61"/>
      <c r="M401" s="68"/>
      <c r="N401" s="61"/>
      <c r="O401" s="74"/>
      <c r="P401" s="68"/>
      <c r="Q401" s="69"/>
      <c r="R401" s="19"/>
      <c r="S401" s="19"/>
      <c r="T401" s="19"/>
      <c r="U401" s="19"/>
      <c r="V401" s="19"/>
      <c r="W401" s="19"/>
      <c r="X401" s="347" t="s">
        <v>61</v>
      </c>
      <c r="Y401" s="348" t="s">
        <v>64</v>
      </c>
      <c r="Z401" s="349" t="s">
        <v>16</v>
      </c>
      <c r="AA401" s="350" t="s">
        <v>29</v>
      </c>
      <c r="AB401" s="355" t="s">
        <v>595</v>
      </c>
      <c r="AC401" s="357">
        <v>600</v>
      </c>
      <c r="AD401" s="353">
        <f>AD402</f>
        <v>10567</v>
      </c>
      <c r="AE401" s="353">
        <f>AE402</f>
        <v>10567</v>
      </c>
      <c r="AF401" s="468">
        <f>AF402</f>
        <v>10566.6</v>
      </c>
      <c r="AG401" s="478">
        <f t="shared" si="113"/>
        <v>0.99996214630453306</v>
      </c>
      <c r="AH401" s="24"/>
      <c r="AI401" s="24"/>
      <c r="AJ401" s="115"/>
    </row>
    <row r="402" spans="1:36" s="80" customFormat="1" x14ac:dyDescent="0.25">
      <c r="A402" s="17"/>
      <c r="B402" s="66"/>
      <c r="C402" s="67"/>
      <c r="D402" s="67"/>
      <c r="E402" s="14"/>
      <c r="F402" s="14"/>
      <c r="G402" s="68"/>
      <c r="H402" s="68"/>
      <c r="I402" s="68"/>
      <c r="J402" s="68"/>
      <c r="K402" s="68"/>
      <c r="L402" s="61"/>
      <c r="M402" s="68"/>
      <c r="N402" s="61"/>
      <c r="O402" s="74"/>
      <c r="P402" s="68"/>
      <c r="Q402" s="69"/>
      <c r="R402" s="19"/>
      <c r="S402" s="19"/>
      <c r="T402" s="19"/>
      <c r="U402" s="19"/>
      <c r="V402" s="19"/>
      <c r="W402" s="19"/>
      <c r="X402" s="347" t="s">
        <v>62</v>
      </c>
      <c r="Y402" s="348" t="s">
        <v>64</v>
      </c>
      <c r="Z402" s="349" t="s">
        <v>16</v>
      </c>
      <c r="AA402" s="350" t="s">
        <v>29</v>
      </c>
      <c r="AB402" s="355" t="s">
        <v>595</v>
      </c>
      <c r="AC402" s="357">
        <v>610</v>
      </c>
      <c r="AD402" s="353">
        <f>2364.5+4025+2343.4+700+1140-5.9</f>
        <v>10567</v>
      </c>
      <c r="AE402" s="353">
        <f>2364.5+4025+2343.4+700+1140-5.9</f>
        <v>10567</v>
      </c>
      <c r="AF402" s="468">
        <v>10566.6</v>
      </c>
      <c r="AG402" s="478">
        <f t="shared" si="113"/>
        <v>0.99996214630453306</v>
      </c>
      <c r="AH402" s="24"/>
      <c r="AI402" s="24"/>
      <c r="AJ402" s="115"/>
    </row>
    <row r="403" spans="1:36" s="80" customFormat="1" ht="31.5" x14ac:dyDescent="0.25">
      <c r="A403" s="17"/>
      <c r="B403" s="66"/>
      <c r="C403" s="67"/>
      <c r="D403" s="67"/>
      <c r="E403" s="14"/>
      <c r="F403" s="14"/>
      <c r="G403" s="68"/>
      <c r="H403" s="68"/>
      <c r="I403" s="68"/>
      <c r="J403" s="68"/>
      <c r="K403" s="68"/>
      <c r="L403" s="61"/>
      <c r="M403" s="68"/>
      <c r="N403" s="61"/>
      <c r="O403" s="74"/>
      <c r="P403" s="68"/>
      <c r="Q403" s="69"/>
      <c r="R403" s="19"/>
      <c r="S403" s="19"/>
      <c r="T403" s="19"/>
      <c r="U403" s="19"/>
      <c r="V403" s="19"/>
      <c r="W403" s="19"/>
      <c r="X403" s="347" t="s">
        <v>269</v>
      </c>
      <c r="Y403" s="348" t="s">
        <v>64</v>
      </c>
      <c r="Z403" s="349" t="s">
        <v>16</v>
      </c>
      <c r="AA403" s="350" t="s">
        <v>29</v>
      </c>
      <c r="AB403" s="355" t="s">
        <v>596</v>
      </c>
      <c r="AC403" s="357"/>
      <c r="AD403" s="353">
        <f t="shared" ref="AD403:AF404" si="123">AD404</f>
        <v>435</v>
      </c>
      <c r="AE403" s="353">
        <f t="shared" si="123"/>
        <v>435</v>
      </c>
      <c r="AF403" s="468">
        <f t="shared" si="123"/>
        <v>406</v>
      </c>
      <c r="AG403" s="478">
        <f t="shared" si="113"/>
        <v>0.93333333333333335</v>
      </c>
      <c r="AH403" s="24"/>
      <c r="AI403" s="24"/>
      <c r="AJ403" s="115"/>
    </row>
    <row r="404" spans="1:36" s="80" customFormat="1" ht="31.5" x14ac:dyDescent="0.25">
      <c r="A404" s="17"/>
      <c r="B404" s="66"/>
      <c r="C404" s="67"/>
      <c r="D404" s="67"/>
      <c r="E404" s="14"/>
      <c r="F404" s="14"/>
      <c r="G404" s="68"/>
      <c r="H404" s="68"/>
      <c r="I404" s="68"/>
      <c r="J404" s="68"/>
      <c r="K404" s="68"/>
      <c r="L404" s="61"/>
      <c r="M404" s="68"/>
      <c r="N404" s="61"/>
      <c r="O404" s="74"/>
      <c r="P404" s="68"/>
      <c r="Q404" s="69"/>
      <c r="R404" s="19"/>
      <c r="S404" s="19"/>
      <c r="T404" s="19"/>
      <c r="U404" s="19"/>
      <c r="V404" s="19"/>
      <c r="W404" s="19"/>
      <c r="X404" s="347" t="s">
        <v>61</v>
      </c>
      <c r="Y404" s="348" t="s">
        <v>64</v>
      </c>
      <c r="Z404" s="349" t="s">
        <v>16</v>
      </c>
      <c r="AA404" s="350" t="s">
        <v>29</v>
      </c>
      <c r="AB404" s="355" t="s">
        <v>596</v>
      </c>
      <c r="AC404" s="357">
        <v>600</v>
      </c>
      <c r="AD404" s="353">
        <f t="shared" si="123"/>
        <v>435</v>
      </c>
      <c r="AE404" s="353">
        <f t="shared" si="123"/>
        <v>435</v>
      </c>
      <c r="AF404" s="468">
        <f t="shared" si="123"/>
        <v>406</v>
      </c>
      <c r="AG404" s="478">
        <f t="shared" si="113"/>
        <v>0.93333333333333335</v>
      </c>
      <c r="AH404" s="24"/>
      <c r="AI404" s="24"/>
      <c r="AJ404" s="115"/>
    </row>
    <row r="405" spans="1:36" s="80" customFormat="1" x14ac:dyDescent="0.25">
      <c r="A405" s="17"/>
      <c r="B405" s="66"/>
      <c r="C405" s="67"/>
      <c r="D405" s="67"/>
      <c r="E405" s="14"/>
      <c r="F405" s="14"/>
      <c r="G405" s="68"/>
      <c r="H405" s="68"/>
      <c r="I405" s="68"/>
      <c r="J405" s="68"/>
      <c r="K405" s="68"/>
      <c r="L405" s="61"/>
      <c r="M405" s="68"/>
      <c r="N405" s="61"/>
      <c r="O405" s="74"/>
      <c r="P405" s="68"/>
      <c r="Q405" s="69"/>
      <c r="R405" s="19"/>
      <c r="S405" s="19"/>
      <c r="T405" s="19"/>
      <c r="U405" s="19"/>
      <c r="V405" s="19"/>
      <c r="W405" s="19"/>
      <c r="X405" s="347" t="s">
        <v>62</v>
      </c>
      <c r="Y405" s="348" t="s">
        <v>64</v>
      </c>
      <c r="Z405" s="349" t="s">
        <v>16</v>
      </c>
      <c r="AA405" s="350" t="s">
        <v>29</v>
      </c>
      <c r="AB405" s="355" t="s">
        <v>596</v>
      </c>
      <c r="AC405" s="357">
        <v>610</v>
      </c>
      <c r="AD405" s="353">
        <v>435</v>
      </c>
      <c r="AE405" s="353">
        <v>435</v>
      </c>
      <c r="AF405" s="468">
        <v>406</v>
      </c>
      <c r="AG405" s="478">
        <f t="shared" si="113"/>
        <v>0.93333333333333335</v>
      </c>
      <c r="AH405" s="24"/>
      <c r="AI405" s="24"/>
      <c r="AJ405" s="115"/>
    </row>
    <row r="406" spans="1:36" s="80" customFormat="1" ht="31.5" x14ac:dyDescent="0.25">
      <c r="A406" s="17"/>
      <c r="B406" s="66"/>
      <c r="C406" s="67"/>
      <c r="D406" s="67"/>
      <c r="E406" s="14"/>
      <c r="F406" s="14"/>
      <c r="G406" s="68"/>
      <c r="H406" s="68"/>
      <c r="I406" s="68"/>
      <c r="J406" s="68"/>
      <c r="K406" s="68"/>
      <c r="L406" s="61"/>
      <c r="M406" s="68"/>
      <c r="N406" s="61"/>
      <c r="O406" s="74"/>
      <c r="P406" s="68"/>
      <c r="Q406" s="69"/>
      <c r="R406" s="19"/>
      <c r="S406" s="19"/>
      <c r="T406" s="19"/>
      <c r="U406" s="19"/>
      <c r="V406" s="19"/>
      <c r="W406" s="19"/>
      <c r="X406" s="365" t="s">
        <v>371</v>
      </c>
      <c r="Y406" s="348" t="s">
        <v>64</v>
      </c>
      <c r="Z406" s="349" t="s">
        <v>16</v>
      </c>
      <c r="AA406" s="350" t="s">
        <v>29</v>
      </c>
      <c r="AB406" s="355" t="s">
        <v>527</v>
      </c>
      <c r="AC406" s="357"/>
      <c r="AD406" s="353">
        <f>AD407+AD410</f>
        <v>76503</v>
      </c>
      <c r="AE406" s="353">
        <f>AE407+AE410</f>
        <v>76503</v>
      </c>
      <c r="AF406" s="468">
        <f>AF407+AF410</f>
        <v>76487.5</v>
      </c>
      <c r="AG406" s="478">
        <f t="shared" si="113"/>
        <v>0.9997973935662654</v>
      </c>
      <c r="AH406" s="24"/>
      <c r="AI406" s="24"/>
      <c r="AJ406" s="115"/>
    </row>
    <row r="407" spans="1:36" s="80" customFormat="1" ht="47.25" x14ac:dyDescent="0.25">
      <c r="A407" s="17"/>
      <c r="B407" s="66"/>
      <c r="C407" s="67"/>
      <c r="D407" s="67"/>
      <c r="E407" s="14"/>
      <c r="F407" s="14"/>
      <c r="G407" s="68"/>
      <c r="H407" s="68"/>
      <c r="I407" s="68"/>
      <c r="J407" s="68"/>
      <c r="K407" s="68"/>
      <c r="L407" s="61"/>
      <c r="M407" s="68"/>
      <c r="N407" s="61"/>
      <c r="O407" s="74"/>
      <c r="P407" s="68"/>
      <c r="Q407" s="69"/>
      <c r="R407" s="19"/>
      <c r="S407" s="19"/>
      <c r="T407" s="19"/>
      <c r="U407" s="19"/>
      <c r="V407" s="19"/>
      <c r="W407" s="19"/>
      <c r="X407" s="404" t="s">
        <v>382</v>
      </c>
      <c r="Y407" s="348" t="s">
        <v>64</v>
      </c>
      <c r="Z407" s="349" t="s">
        <v>16</v>
      </c>
      <c r="AA407" s="350" t="s">
        <v>29</v>
      </c>
      <c r="AB407" s="355" t="s">
        <v>528</v>
      </c>
      <c r="AC407" s="357"/>
      <c r="AD407" s="353">
        <f t="shared" ref="AD407:AF408" si="124">AD408</f>
        <v>38762.699999999997</v>
      </c>
      <c r="AE407" s="353">
        <f t="shared" si="124"/>
        <v>38762.699999999997</v>
      </c>
      <c r="AF407" s="468">
        <f t="shared" si="124"/>
        <v>38747.1</v>
      </c>
      <c r="AG407" s="478">
        <f t="shared" si="113"/>
        <v>0.9995975512541696</v>
      </c>
      <c r="AH407" s="24"/>
      <c r="AI407" s="24"/>
      <c r="AJ407" s="115"/>
    </row>
    <row r="408" spans="1:36" s="80" customFormat="1" ht="31.5" x14ac:dyDescent="0.25">
      <c r="A408" s="17"/>
      <c r="B408" s="66"/>
      <c r="C408" s="67"/>
      <c r="D408" s="67"/>
      <c r="E408" s="14"/>
      <c r="F408" s="14"/>
      <c r="G408" s="68"/>
      <c r="H408" s="68"/>
      <c r="I408" s="68"/>
      <c r="J408" s="68"/>
      <c r="K408" s="68"/>
      <c r="L408" s="61"/>
      <c r="M408" s="68"/>
      <c r="N408" s="61"/>
      <c r="O408" s="74"/>
      <c r="P408" s="68"/>
      <c r="Q408" s="69"/>
      <c r="R408" s="19"/>
      <c r="S408" s="19"/>
      <c r="T408" s="19"/>
      <c r="U408" s="19"/>
      <c r="V408" s="19"/>
      <c r="W408" s="19"/>
      <c r="X408" s="347" t="s">
        <v>61</v>
      </c>
      <c r="Y408" s="348" t="s">
        <v>64</v>
      </c>
      <c r="Z408" s="349" t="s">
        <v>16</v>
      </c>
      <c r="AA408" s="350" t="s">
        <v>29</v>
      </c>
      <c r="AB408" s="355" t="s">
        <v>528</v>
      </c>
      <c r="AC408" s="357">
        <v>600</v>
      </c>
      <c r="AD408" s="353">
        <f t="shared" si="124"/>
        <v>38762.699999999997</v>
      </c>
      <c r="AE408" s="353">
        <f t="shared" si="124"/>
        <v>38762.699999999997</v>
      </c>
      <c r="AF408" s="468">
        <f t="shared" si="124"/>
        <v>38747.1</v>
      </c>
      <c r="AG408" s="478">
        <f t="shared" si="113"/>
        <v>0.9995975512541696</v>
      </c>
      <c r="AH408" s="24"/>
      <c r="AI408" s="24"/>
      <c r="AJ408" s="115"/>
    </row>
    <row r="409" spans="1:36" s="80" customFormat="1" x14ac:dyDescent="0.25">
      <c r="A409" s="17"/>
      <c r="B409" s="66"/>
      <c r="C409" s="67"/>
      <c r="D409" s="67"/>
      <c r="E409" s="14"/>
      <c r="F409" s="14"/>
      <c r="G409" s="68"/>
      <c r="H409" s="68"/>
      <c r="I409" s="68"/>
      <c r="J409" s="68"/>
      <c r="K409" s="68"/>
      <c r="L409" s="61"/>
      <c r="M409" s="68"/>
      <c r="N409" s="61"/>
      <c r="O409" s="74"/>
      <c r="P409" s="68"/>
      <c r="Q409" s="69"/>
      <c r="R409" s="19"/>
      <c r="S409" s="19"/>
      <c r="T409" s="19"/>
      <c r="U409" s="19"/>
      <c r="V409" s="19"/>
      <c r="W409" s="19"/>
      <c r="X409" s="347" t="s">
        <v>62</v>
      </c>
      <c r="Y409" s="348" t="s">
        <v>64</v>
      </c>
      <c r="Z409" s="349" t="s">
        <v>16</v>
      </c>
      <c r="AA409" s="350" t="s">
        <v>29</v>
      </c>
      <c r="AB409" s="355" t="s">
        <v>528</v>
      </c>
      <c r="AC409" s="357">
        <v>610</v>
      </c>
      <c r="AD409" s="353">
        <f>30873.8+215.8+3011.9+143+5218-699.8</f>
        <v>38762.699999999997</v>
      </c>
      <c r="AE409" s="353">
        <f>30873.8+215.8+3011.9+143+5218-699.8</f>
        <v>38762.699999999997</v>
      </c>
      <c r="AF409" s="468">
        <v>38747.1</v>
      </c>
      <c r="AG409" s="478">
        <f t="shared" si="113"/>
        <v>0.9995975512541696</v>
      </c>
      <c r="AH409" s="24"/>
      <c r="AI409" s="24"/>
      <c r="AJ409" s="115"/>
    </row>
    <row r="410" spans="1:36" s="80" customFormat="1" ht="47.25" x14ac:dyDescent="0.25">
      <c r="A410" s="17"/>
      <c r="B410" s="66"/>
      <c r="C410" s="67"/>
      <c r="D410" s="67"/>
      <c r="E410" s="14"/>
      <c r="F410" s="14"/>
      <c r="G410" s="68"/>
      <c r="H410" s="68"/>
      <c r="I410" s="68"/>
      <c r="J410" s="68"/>
      <c r="K410" s="68"/>
      <c r="L410" s="61"/>
      <c r="M410" s="68"/>
      <c r="N410" s="61"/>
      <c r="O410" s="74"/>
      <c r="P410" s="68"/>
      <c r="Q410" s="69"/>
      <c r="R410" s="19"/>
      <c r="S410" s="19"/>
      <c r="T410" s="19"/>
      <c r="U410" s="19"/>
      <c r="V410" s="19"/>
      <c r="W410" s="19"/>
      <c r="X410" s="404" t="s">
        <v>383</v>
      </c>
      <c r="Y410" s="348" t="s">
        <v>64</v>
      </c>
      <c r="Z410" s="349" t="s">
        <v>16</v>
      </c>
      <c r="AA410" s="350" t="s">
        <v>29</v>
      </c>
      <c r="AB410" s="355" t="s">
        <v>529</v>
      </c>
      <c r="AC410" s="357"/>
      <c r="AD410" s="353">
        <f t="shared" ref="AD410:AF411" si="125">AD411</f>
        <v>37740.300000000003</v>
      </c>
      <c r="AE410" s="353">
        <f t="shared" si="125"/>
        <v>37740.300000000003</v>
      </c>
      <c r="AF410" s="468">
        <f t="shared" si="125"/>
        <v>37740.400000000001</v>
      </c>
      <c r="AG410" s="478">
        <f t="shared" si="113"/>
        <v>1.0000026496874692</v>
      </c>
      <c r="AH410" s="24"/>
      <c r="AI410" s="24"/>
      <c r="AJ410" s="115"/>
    </row>
    <row r="411" spans="1:36" s="80" customFormat="1" ht="31.5" x14ac:dyDescent="0.25">
      <c r="A411" s="17"/>
      <c r="B411" s="66"/>
      <c r="C411" s="67"/>
      <c r="D411" s="67"/>
      <c r="E411" s="14"/>
      <c r="F411" s="14"/>
      <c r="G411" s="68"/>
      <c r="H411" s="68"/>
      <c r="I411" s="68"/>
      <c r="J411" s="68"/>
      <c r="K411" s="68"/>
      <c r="L411" s="61"/>
      <c r="M411" s="68"/>
      <c r="N411" s="61"/>
      <c r="O411" s="74"/>
      <c r="P411" s="68"/>
      <c r="Q411" s="69"/>
      <c r="R411" s="19"/>
      <c r="S411" s="19"/>
      <c r="T411" s="19"/>
      <c r="U411" s="19"/>
      <c r="V411" s="19"/>
      <c r="W411" s="19"/>
      <c r="X411" s="347" t="s">
        <v>61</v>
      </c>
      <c r="Y411" s="348" t="s">
        <v>64</v>
      </c>
      <c r="Z411" s="349" t="s">
        <v>16</v>
      </c>
      <c r="AA411" s="350" t="s">
        <v>29</v>
      </c>
      <c r="AB411" s="355" t="s">
        <v>529</v>
      </c>
      <c r="AC411" s="357">
        <v>600</v>
      </c>
      <c r="AD411" s="353">
        <f t="shared" si="125"/>
        <v>37740.300000000003</v>
      </c>
      <c r="AE411" s="353">
        <f t="shared" si="125"/>
        <v>37740.300000000003</v>
      </c>
      <c r="AF411" s="468">
        <f t="shared" si="125"/>
        <v>37740.400000000001</v>
      </c>
      <c r="AG411" s="478">
        <f t="shared" si="113"/>
        <v>1.0000026496874692</v>
      </c>
      <c r="AH411" s="24"/>
      <c r="AI411" s="24"/>
      <c r="AJ411" s="115"/>
    </row>
    <row r="412" spans="1:36" s="80" customFormat="1" x14ac:dyDescent="0.25">
      <c r="A412" s="17"/>
      <c r="B412" s="66"/>
      <c r="C412" s="67"/>
      <c r="D412" s="67"/>
      <c r="E412" s="14"/>
      <c r="F412" s="14"/>
      <c r="G412" s="68"/>
      <c r="H412" s="68"/>
      <c r="I412" s="68"/>
      <c r="J412" s="68"/>
      <c r="K412" s="68"/>
      <c r="L412" s="61"/>
      <c r="M412" s="68"/>
      <c r="N412" s="61"/>
      <c r="O412" s="74"/>
      <c r="P412" s="68"/>
      <c r="Q412" s="69"/>
      <c r="R412" s="19"/>
      <c r="S412" s="19"/>
      <c r="T412" s="19"/>
      <c r="U412" s="19"/>
      <c r="V412" s="19"/>
      <c r="W412" s="19"/>
      <c r="X412" s="347" t="s">
        <v>62</v>
      </c>
      <c r="Y412" s="348" t="s">
        <v>64</v>
      </c>
      <c r="Z412" s="349" t="s">
        <v>16</v>
      </c>
      <c r="AA412" s="350" t="s">
        <v>29</v>
      </c>
      <c r="AB412" s="355" t="s">
        <v>529</v>
      </c>
      <c r="AC412" s="357">
        <v>610</v>
      </c>
      <c r="AD412" s="353">
        <f>37146+107.8+803.6+53.5+400+677-1447.6</f>
        <v>37740.300000000003</v>
      </c>
      <c r="AE412" s="353">
        <f>37146+107.8+803.6+53.5+400+677-1447.6</f>
        <v>37740.300000000003</v>
      </c>
      <c r="AF412" s="468">
        <v>37740.400000000001</v>
      </c>
      <c r="AG412" s="478">
        <f t="shared" si="113"/>
        <v>1.0000026496874692</v>
      </c>
      <c r="AH412" s="24"/>
      <c r="AI412" s="24"/>
      <c r="AJ412" s="115"/>
    </row>
    <row r="413" spans="1:36" s="80" customFormat="1" ht="48.6" customHeight="1" x14ac:dyDescent="0.25">
      <c r="A413" s="17"/>
      <c r="B413" s="66"/>
      <c r="C413" s="67"/>
      <c r="D413" s="67"/>
      <c r="E413" s="14"/>
      <c r="F413" s="14"/>
      <c r="G413" s="68"/>
      <c r="H413" s="68"/>
      <c r="I413" s="68"/>
      <c r="J413" s="68"/>
      <c r="K413" s="68"/>
      <c r="L413" s="61"/>
      <c r="M413" s="68"/>
      <c r="N413" s="61"/>
      <c r="O413" s="74"/>
      <c r="P413" s="68"/>
      <c r="Q413" s="69"/>
      <c r="R413" s="19"/>
      <c r="S413" s="19"/>
      <c r="T413" s="19"/>
      <c r="U413" s="19"/>
      <c r="V413" s="19"/>
      <c r="W413" s="19"/>
      <c r="X413" s="347" t="s">
        <v>725</v>
      </c>
      <c r="Y413" s="348" t="s">
        <v>64</v>
      </c>
      <c r="Z413" s="349" t="s">
        <v>16</v>
      </c>
      <c r="AA413" s="350" t="s">
        <v>29</v>
      </c>
      <c r="AB413" s="355" t="s">
        <v>726</v>
      </c>
      <c r="AC413" s="357"/>
      <c r="AD413" s="123">
        <f>AD414+AD417</f>
        <v>4310.8999999999996</v>
      </c>
      <c r="AE413" s="123">
        <f>AE414+AE417</f>
        <v>4310.8999999999996</v>
      </c>
      <c r="AF413" s="468">
        <f t="shared" ref="AF413" si="126">AF414+AF417</f>
        <v>4310.8999999999996</v>
      </c>
      <c r="AG413" s="478">
        <f t="shared" si="113"/>
        <v>1</v>
      </c>
      <c r="AH413" s="24"/>
      <c r="AI413" s="24"/>
      <c r="AJ413" s="115"/>
    </row>
    <row r="414" spans="1:36" s="80" customFormat="1" ht="32.450000000000003" customHeight="1" x14ac:dyDescent="0.25">
      <c r="A414" s="17"/>
      <c r="B414" s="66"/>
      <c r="C414" s="67"/>
      <c r="D414" s="67"/>
      <c r="E414" s="14"/>
      <c r="F414" s="14"/>
      <c r="G414" s="68"/>
      <c r="H414" s="68"/>
      <c r="I414" s="68"/>
      <c r="J414" s="68"/>
      <c r="K414" s="68"/>
      <c r="L414" s="61"/>
      <c r="M414" s="68"/>
      <c r="N414" s="61"/>
      <c r="O414" s="74"/>
      <c r="P414" s="68"/>
      <c r="Q414" s="69"/>
      <c r="R414" s="19"/>
      <c r="S414" s="19"/>
      <c r="T414" s="19"/>
      <c r="U414" s="19"/>
      <c r="V414" s="19"/>
      <c r="W414" s="19"/>
      <c r="X414" s="347" t="s">
        <v>727</v>
      </c>
      <c r="Y414" s="348" t="s">
        <v>64</v>
      </c>
      <c r="Z414" s="349" t="s">
        <v>16</v>
      </c>
      <c r="AA414" s="350" t="s">
        <v>29</v>
      </c>
      <c r="AB414" s="355" t="s">
        <v>728</v>
      </c>
      <c r="AC414" s="357"/>
      <c r="AD414" s="353">
        <f>AD415</f>
        <v>4257</v>
      </c>
      <c r="AE414" s="353">
        <f>AE415</f>
        <v>4257</v>
      </c>
      <c r="AF414" s="468">
        <f t="shared" ref="AF414:AF415" si="127">AF415</f>
        <v>4257</v>
      </c>
      <c r="AG414" s="478">
        <f t="shared" si="113"/>
        <v>1</v>
      </c>
      <c r="AH414" s="24"/>
      <c r="AI414" s="24"/>
      <c r="AJ414" s="115"/>
    </row>
    <row r="415" spans="1:36" s="80" customFormat="1" ht="31.5" x14ac:dyDescent="0.25">
      <c r="A415" s="17"/>
      <c r="B415" s="66"/>
      <c r="C415" s="67"/>
      <c r="D415" s="67"/>
      <c r="E415" s="14"/>
      <c r="F415" s="14"/>
      <c r="G415" s="68"/>
      <c r="H415" s="68"/>
      <c r="I415" s="68"/>
      <c r="J415" s="68"/>
      <c r="K415" s="68"/>
      <c r="L415" s="61"/>
      <c r="M415" s="68"/>
      <c r="N415" s="61"/>
      <c r="O415" s="74"/>
      <c r="P415" s="68"/>
      <c r="Q415" s="69"/>
      <c r="R415" s="19"/>
      <c r="S415" s="19"/>
      <c r="T415" s="19"/>
      <c r="U415" s="19"/>
      <c r="V415" s="19"/>
      <c r="W415" s="19"/>
      <c r="X415" s="347" t="s">
        <v>61</v>
      </c>
      <c r="Y415" s="348" t="s">
        <v>64</v>
      </c>
      <c r="Z415" s="349" t="s">
        <v>16</v>
      </c>
      <c r="AA415" s="350" t="s">
        <v>29</v>
      </c>
      <c r="AB415" s="355" t="s">
        <v>728</v>
      </c>
      <c r="AC415" s="357">
        <v>600</v>
      </c>
      <c r="AD415" s="353">
        <f>AD416</f>
        <v>4257</v>
      </c>
      <c r="AE415" s="353">
        <f>AE416</f>
        <v>4257</v>
      </c>
      <c r="AF415" s="468">
        <f t="shared" si="127"/>
        <v>4257</v>
      </c>
      <c r="AG415" s="478">
        <f t="shared" si="113"/>
        <v>1</v>
      </c>
      <c r="AH415" s="24"/>
      <c r="AI415" s="24"/>
      <c r="AJ415" s="115"/>
    </row>
    <row r="416" spans="1:36" s="80" customFormat="1" x14ac:dyDescent="0.25">
      <c r="A416" s="17"/>
      <c r="B416" s="66"/>
      <c r="C416" s="67"/>
      <c r="D416" s="67"/>
      <c r="E416" s="14"/>
      <c r="F416" s="14"/>
      <c r="G416" s="68"/>
      <c r="H416" s="68"/>
      <c r="I416" s="68"/>
      <c r="J416" s="68"/>
      <c r="K416" s="68"/>
      <c r="L416" s="61"/>
      <c r="M416" s="68"/>
      <c r="N416" s="61"/>
      <c r="O416" s="74"/>
      <c r="P416" s="68"/>
      <c r="Q416" s="69"/>
      <c r="R416" s="19"/>
      <c r="S416" s="19"/>
      <c r="T416" s="19"/>
      <c r="U416" s="19"/>
      <c r="V416" s="19"/>
      <c r="W416" s="19"/>
      <c r="X416" s="347" t="s">
        <v>62</v>
      </c>
      <c r="Y416" s="348" t="s">
        <v>64</v>
      </c>
      <c r="Z416" s="349" t="s">
        <v>16</v>
      </c>
      <c r="AA416" s="350" t="s">
        <v>29</v>
      </c>
      <c r="AB416" s="355" t="s">
        <v>728</v>
      </c>
      <c r="AC416" s="357">
        <v>610</v>
      </c>
      <c r="AD416" s="353">
        <f>4000+300-43</f>
        <v>4257</v>
      </c>
      <c r="AE416" s="353">
        <f>4000+300-43</f>
        <v>4257</v>
      </c>
      <c r="AF416" s="468">
        <v>4257</v>
      </c>
      <c r="AG416" s="478">
        <f t="shared" si="113"/>
        <v>1</v>
      </c>
      <c r="AH416" s="24"/>
      <c r="AI416" s="24"/>
      <c r="AJ416" s="115"/>
    </row>
    <row r="417" spans="1:36" s="80" customFormat="1" ht="31.5" x14ac:dyDescent="0.25">
      <c r="A417" s="17"/>
      <c r="B417" s="66"/>
      <c r="C417" s="67"/>
      <c r="D417" s="67"/>
      <c r="E417" s="14"/>
      <c r="F417" s="14"/>
      <c r="G417" s="68"/>
      <c r="H417" s="68"/>
      <c r="I417" s="68"/>
      <c r="J417" s="68"/>
      <c r="K417" s="68"/>
      <c r="L417" s="61"/>
      <c r="M417" s="68"/>
      <c r="N417" s="61"/>
      <c r="O417" s="74"/>
      <c r="P417" s="68"/>
      <c r="Q417" s="69"/>
      <c r="R417" s="19"/>
      <c r="S417" s="19"/>
      <c r="T417" s="19"/>
      <c r="U417" s="19"/>
      <c r="V417" s="19"/>
      <c r="W417" s="19"/>
      <c r="X417" s="197" t="s">
        <v>764</v>
      </c>
      <c r="Y417" s="11" t="s">
        <v>64</v>
      </c>
      <c r="Z417" s="16" t="s">
        <v>16</v>
      </c>
      <c r="AA417" s="146" t="s">
        <v>29</v>
      </c>
      <c r="AB417" s="226" t="s">
        <v>763</v>
      </c>
      <c r="AC417" s="322"/>
      <c r="AD417" s="123">
        <f>AD418</f>
        <v>53.9</v>
      </c>
      <c r="AE417" s="123">
        <f>AE418</f>
        <v>53.9</v>
      </c>
      <c r="AF417" s="313">
        <f t="shared" ref="AF417" si="128">AF418</f>
        <v>53.9</v>
      </c>
      <c r="AG417" s="478">
        <f t="shared" si="113"/>
        <v>1</v>
      </c>
      <c r="AH417" s="24"/>
      <c r="AI417" s="24"/>
      <c r="AJ417" s="115"/>
    </row>
    <row r="418" spans="1:36" s="80" customFormat="1" ht="31.5" x14ac:dyDescent="0.25">
      <c r="A418" s="17"/>
      <c r="B418" s="66"/>
      <c r="C418" s="67"/>
      <c r="D418" s="67"/>
      <c r="E418" s="14"/>
      <c r="F418" s="14"/>
      <c r="G418" s="68"/>
      <c r="H418" s="68"/>
      <c r="I418" s="68"/>
      <c r="J418" s="68"/>
      <c r="K418" s="68"/>
      <c r="L418" s="61"/>
      <c r="M418" s="68"/>
      <c r="N418" s="61"/>
      <c r="O418" s="74"/>
      <c r="P418" s="68"/>
      <c r="Q418" s="69"/>
      <c r="R418" s="19"/>
      <c r="S418" s="19"/>
      <c r="T418" s="19"/>
      <c r="U418" s="19"/>
      <c r="V418" s="19"/>
      <c r="W418" s="19"/>
      <c r="X418" s="197" t="s">
        <v>61</v>
      </c>
      <c r="Y418" s="11" t="s">
        <v>64</v>
      </c>
      <c r="Z418" s="16" t="s">
        <v>16</v>
      </c>
      <c r="AA418" s="146" t="s">
        <v>29</v>
      </c>
      <c r="AB418" s="226" t="s">
        <v>763</v>
      </c>
      <c r="AC418" s="322">
        <v>600</v>
      </c>
      <c r="AD418" s="123">
        <f>AD419</f>
        <v>53.9</v>
      </c>
      <c r="AE418" s="123">
        <f>AE419</f>
        <v>53.9</v>
      </c>
      <c r="AF418" s="313">
        <f t="shared" ref="AF418" si="129">AF419</f>
        <v>53.9</v>
      </c>
      <c r="AG418" s="478">
        <f t="shared" si="113"/>
        <v>1</v>
      </c>
      <c r="AH418" s="24"/>
      <c r="AI418" s="24"/>
      <c r="AJ418" s="115"/>
    </row>
    <row r="419" spans="1:36" s="80" customFormat="1" x14ac:dyDescent="0.25">
      <c r="A419" s="17"/>
      <c r="B419" s="66"/>
      <c r="C419" s="67"/>
      <c r="D419" s="67"/>
      <c r="E419" s="14"/>
      <c r="F419" s="14"/>
      <c r="G419" s="68"/>
      <c r="H419" s="68"/>
      <c r="I419" s="68"/>
      <c r="J419" s="68"/>
      <c r="K419" s="68"/>
      <c r="L419" s="61"/>
      <c r="M419" s="68"/>
      <c r="N419" s="61"/>
      <c r="O419" s="74"/>
      <c r="P419" s="68"/>
      <c r="Q419" s="69"/>
      <c r="R419" s="19"/>
      <c r="S419" s="19"/>
      <c r="T419" s="19"/>
      <c r="U419" s="19"/>
      <c r="V419" s="19"/>
      <c r="W419" s="19"/>
      <c r="X419" s="197" t="s">
        <v>62</v>
      </c>
      <c r="Y419" s="11" t="s">
        <v>64</v>
      </c>
      <c r="Z419" s="16" t="s">
        <v>16</v>
      </c>
      <c r="AA419" s="146" t="s">
        <v>29</v>
      </c>
      <c r="AB419" s="226" t="s">
        <v>763</v>
      </c>
      <c r="AC419" s="322">
        <v>610</v>
      </c>
      <c r="AD419" s="123">
        <f>60-6.1</f>
        <v>53.9</v>
      </c>
      <c r="AE419" s="123">
        <f>60-6.1</f>
        <v>53.9</v>
      </c>
      <c r="AF419" s="313">
        <v>53.9</v>
      </c>
      <c r="AG419" s="478">
        <f t="shared" si="113"/>
        <v>1</v>
      </c>
      <c r="AH419" s="24"/>
      <c r="AI419" s="24"/>
      <c r="AJ419" s="115"/>
    </row>
    <row r="420" spans="1:36" s="80" customFormat="1" ht="34.15" customHeight="1" x14ac:dyDescent="0.25">
      <c r="A420" s="17"/>
      <c r="B420" s="66"/>
      <c r="C420" s="67"/>
      <c r="D420" s="67"/>
      <c r="E420" s="14"/>
      <c r="F420" s="14"/>
      <c r="G420" s="68"/>
      <c r="H420" s="68"/>
      <c r="I420" s="68"/>
      <c r="J420" s="68"/>
      <c r="K420" s="68"/>
      <c r="L420" s="61"/>
      <c r="M420" s="68"/>
      <c r="N420" s="61"/>
      <c r="O420" s="74"/>
      <c r="P420" s="68"/>
      <c r="Q420" s="69"/>
      <c r="R420" s="19"/>
      <c r="S420" s="19"/>
      <c r="T420" s="19"/>
      <c r="U420" s="19"/>
      <c r="V420" s="19"/>
      <c r="W420" s="19"/>
      <c r="X420" s="347" t="s">
        <v>756</v>
      </c>
      <c r="Y420" s="348" t="s">
        <v>64</v>
      </c>
      <c r="Z420" s="349" t="s">
        <v>16</v>
      </c>
      <c r="AA420" s="350" t="s">
        <v>29</v>
      </c>
      <c r="AB420" s="355" t="s">
        <v>758</v>
      </c>
      <c r="AC420" s="357"/>
      <c r="AD420" s="353">
        <f t="shared" ref="AD420:AE422" si="130">AD421</f>
        <v>160</v>
      </c>
      <c r="AE420" s="353">
        <f t="shared" si="130"/>
        <v>160</v>
      </c>
      <c r="AF420" s="468">
        <f t="shared" ref="AF420" si="131">AF421</f>
        <v>160</v>
      </c>
      <c r="AG420" s="478">
        <f t="shared" si="113"/>
        <v>1</v>
      </c>
      <c r="AH420" s="24"/>
      <c r="AI420" s="24"/>
      <c r="AJ420" s="115"/>
    </row>
    <row r="421" spans="1:36" s="80" customFormat="1" ht="31.5" x14ac:dyDescent="0.25">
      <c r="A421" s="17"/>
      <c r="B421" s="66"/>
      <c r="C421" s="67"/>
      <c r="D421" s="67"/>
      <c r="E421" s="14"/>
      <c r="F421" s="14"/>
      <c r="G421" s="68"/>
      <c r="H421" s="68"/>
      <c r="I421" s="68"/>
      <c r="J421" s="68"/>
      <c r="K421" s="68"/>
      <c r="L421" s="61"/>
      <c r="M421" s="68"/>
      <c r="N421" s="61"/>
      <c r="O421" s="74"/>
      <c r="P421" s="68"/>
      <c r="Q421" s="69"/>
      <c r="R421" s="19"/>
      <c r="S421" s="19"/>
      <c r="T421" s="19"/>
      <c r="U421" s="19"/>
      <c r="V421" s="19"/>
      <c r="W421" s="19"/>
      <c r="X421" s="347" t="s">
        <v>757</v>
      </c>
      <c r="Y421" s="348" t="s">
        <v>64</v>
      </c>
      <c r="Z421" s="349" t="s">
        <v>16</v>
      </c>
      <c r="AA421" s="350" t="s">
        <v>29</v>
      </c>
      <c r="AB421" s="355" t="s">
        <v>759</v>
      </c>
      <c r="AC421" s="357"/>
      <c r="AD421" s="353">
        <f t="shared" si="130"/>
        <v>160</v>
      </c>
      <c r="AE421" s="353">
        <f t="shared" si="130"/>
        <v>160</v>
      </c>
      <c r="AF421" s="468">
        <f t="shared" ref="AF421" si="132">AF422</f>
        <v>160</v>
      </c>
      <c r="AG421" s="478">
        <f t="shared" si="113"/>
        <v>1</v>
      </c>
      <c r="AH421" s="24"/>
      <c r="AI421" s="24"/>
      <c r="AJ421" s="115"/>
    </row>
    <row r="422" spans="1:36" s="80" customFormat="1" ht="31.5" x14ac:dyDescent="0.25">
      <c r="A422" s="17"/>
      <c r="B422" s="66"/>
      <c r="C422" s="67"/>
      <c r="D422" s="67"/>
      <c r="E422" s="14"/>
      <c r="F422" s="14"/>
      <c r="G422" s="68"/>
      <c r="H422" s="68"/>
      <c r="I422" s="68"/>
      <c r="J422" s="68"/>
      <c r="K422" s="68"/>
      <c r="L422" s="61"/>
      <c r="M422" s="68"/>
      <c r="N422" s="61"/>
      <c r="O422" s="74"/>
      <c r="P422" s="68"/>
      <c r="Q422" s="69"/>
      <c r="R422" s="19"/>
      <c r="S422" s="19"/>
      <c r="T422" s="19"/>
      <c r="U422" s="19"/>
      <c r="V422" s="19"/>
      <c r="W422" s="19"/>
      <c r="X422" s="347" t="s">
        <v>61</v>
      </c>
      <c r="Y422" s="348" t="s">
        <v>64</v>
      </c>
      <c r="Z422" s="349" t="s">
        <v>16</v>
      </c>
      <c r="AA422" s="350" t="s">
        <v>29</v>
      </c>
      <c r="AB422" s="355" t="s">
        <v>759</v>
      </c>
      <c r="AC422" s="357">
        <v>600</v>
      </c>
      <c r="AD422" s="353">
        <f t="shared" si="130"/>
        <v>160</v>
      </c>
      <c r="AE422" s="353">
        <f t="shared" si="130"/>
        <v>160</v>
      </c>
      <c r="AF422" s="468">
        <f t="shared" ref="AF422" si="133">AF423</f>
        <v>160</v>
      </c>
      <c r="AG422" s="478">
        <f t="shared" si="113"/>
        <v>1</v>
      </c>
      <c r="AH422" s="24"/>
      <c r="AI422" s="24"/>
      <c r="AJ422" s="115"/>
    </row>
    <row r="423" spans="1:36" s="80" customFormat="1" x14ac:dyDescent="0.25">
      <c r="A423" s="17"/>
      <c r="B423" s="66"/>
      <c r="C423" s="67"/>
      <c r="D423" s="67"/>
      <c r="E423" s="14"/>
      <c r="F423" s="14"/>
      <c r="G423" s="68"/>
      <c r="H423" s="68"/>
      <c r="I423" s="68"/>
      <c r="J423" s="68"/>
      <c r="K423" s="68"/>
      <c r="L423" s="61"/>
      <c r="M423" s="68"/>
      <c r="N423" s="61"/>
      <c r="O423" s="74"/>
      <c r="P423" s="68"/>
      <c r="Q423" s="69"/>
      <c r="R423" s="19"/>
      <c r="S423" s="19"/>
      <c r="T423" s="19"/>
      <c r="U423" s="19"/>
      <c r="V423" s="19"/>
      <c r="W423" s="19"/>
      <c r="X423" s="347" t="s">
        <v>62</v>
      </c>
      <c r="Y423" s="348" t="s">
        <v>64</v>
      </c>
      <c r="Z423" s="349" t="s">
        <v>16</v>
      </c>
      <c r="AA423" s="350" t="s">
        <v>29</v>
      </c>
      <c r="AB423" s="355" t="s">
        <v>759</v>
      </c>
      <c r="AC423" s="357">
        <v>610</v>
      </c>
      <c r="AD423" s="353">
        <v>160</v>
      </c>
      <c r="AE423" s="353">
        <v>160</v>
      </c>
      <c r="AF423" s="468">
        <v>160</v>
      </c>
      <c r="AG423" s="478">
        <f t="shared" si="113"/>
        <v>1</v>
      </c>
      <c r="AH423" s="24"/>
      <c r="AI423" s="24"/>
      <c r="AJ423" s="115"/>
    </row>
    <row r="424" spans="1:36" s="80" customFormat="1" ht="31.5" x14ac:dyDescent="0.25">
      <c r="A424" s="17"/>
      <c r="B424" s="66"/>
      <c r="C424" s="67"/>
      <c r="D424" s="67"/>
      <c r="E424" s="14"/>
      <c r="F424" s="14"/>
      <c r="G424" s="68"/>
      <c r="H424" s="68"/>
      <c r="I424" s="68"/>
      <c r="J424" s="68"/>
      <c r="K424" s="68"/>
      <c r="L424" s="61"/>
      <c r="M424" s="68"/>
      <c r="N424" s="61"/>
      <c r="O424" s="74"/>
      <c r="P424" s="68"/>
      <c r="Q424" s="69"/>
      <c r="R424" s="19"/>
      <c r="S424" s="19"/>
      <c r="T424" s="19"/>
      <c r="U424" s="19"/>
      <c r="V424" s="19"/>
      <c r="W424" s="19"/>
      <c r="X424" s="347" t="s">
        <v>734</v>
      </c>
      <c r="Y424" s="348" t="s">
        <v>64</v>
      </c>
      <c r="Z424" s="349" t="s">
        <v>16</v>
      </c>
      <c r="AA424" s="350" t="s">
        <v>29</v>
      </c>
      <c r="AB424" s="355" t="s">
        <v>735</v>
      </c>
      <c r="AC424" s="357"/>
      <c r="AD424" s="353">
        <f>AD428+AD425</f>
        <v>5608.2</v>
      </c>
      <c r="AE424" s="353">
        <f>AE428+AE425</f>
        <v>5608.2</v>
      </c>
      <c r="AF424" s="468">
        <f t="shared" ref="AF424" si="134">AF428+AF425</f>
        <v>5510.5</v>
      </c>
      <c r="AG424" s="478">
        <f t="shared" si="113"/>
        <v>0.98257908063193189</v>
      </c>
      <c r="AH424" s="24"/>
      <c r="AI424" s="24"/>
      <c r="AJ424" s="115"/>
    </row>
    <row r="425" spans="1:36" s="80" customFormat="1" ht="31.5" x14ac:dyDescent="0.25">
      <c r="A425" s="17"/>
      <c r="B425" s="66"/>
      <c r="C425" s="67"/>
      <c r="D425" s="67"/>
      <c r="E425" s="14"/>
      <c r="F425" s="14"/>
      <c r="G425" s="68"/>
      <c r="H425" s="68"/>
      <c r="I425" s="68"/>
      <c r="J425" s="68"/>
      <c r="K425" s="68"/>
      <c r="L425" s="61"/>
      <c r="M425" s="68"/>
      <c r="N425" s="61"/>
      <c r="O425" s="74"/>
      <c r="P425" s="68"/>
      <c r="Q425" s="69"/>
      <c r="R425" s="19"/>
      <c r="S425" s="19"/>
      <c r="T425" s="19"/>
      <c r="U425" s="19"/>
      <c r="V425" s="19"/>
      <c r="W425" s="19"/>
      <c r="X425" s="347" t="s">
        <v>796</v>
      </c>
      <c r="Y425" s="348" t="s">
        <v>64</v>
      </c>
      <c r="Z425" s="349" t="s">
        <v>16</v>
      </c>
      <c r="AA425" s="350" t="s">
        <v>29</v>
      </c>
      <c r="AB425" s="355" t="s">
        <v>802</v>
      </c>
      <c r="AC425" s="352"/>
      <c r="AD425" s="353">
        <f>AD426</f>
        <v>4396</v>
      </c>
      <c r="AE425" s="353">
        <f>AE426</f>
        <v>4396</v>
      </c>
      <c r="AF425" s="468">
        <f t="shared" ref="AF425:AF426" si="135">AF426</f>
        <v>4396</v>
      </c>
      <c r="AG425" s="478">
        <f t="shared" si="113"/>
        <v>1</v>
      </c>
      <c r="AH425" s="24"/>
      <c r="AI425" s="24"/>
      <c r="AJ425" s="115"/>
    </row>
    <row r="426" spans="1:36" s="80" customFormat="1" ht="31.5" x14ac:dyDescent="0.25">
      <c r="A426" s="17"/>
      <c r="B426" s="66"/>
      <c r="C426" s="67"/>
      <c r="D426" s="67"/>
      <c r="E426" s="14"/>
      <c r="F426" s="14"/>
      <c r="G426" s="68"/>
      <c r="H426" s="68"/>
      <c r="I426" s="68"/>
      <c r="J426" s="68"/>
      <c r="K426" s="68"/>
      <c r="L426" s="61"/>
      <c r="M426" s="68"/>
      <c r="N426" s="61"/>
      <c r="O426" s="74"/>
      <c r="P426" s="68"/>
      <c r="Q426" s="69"/>
      <c r="R426" s="19"/>
      <c r="S426" s="19"/>
      <c r="T426" s="19"/>
      <c r="U426" s="19"/>
      <c r="V426" s="19"/>
      <c r="W426" s="19"/>
      <c r="X426" s="402" t="s">
        <v>61</v>
      </c>
      <c r="Y426" s="348" t="s">
        <v>64</v>
      </c>
      <c r="Z426" s="349" t="s">
        <v>16</v>
      </c>
      <c r="AA426" s="350" t="s">
        <v>29</v>
      </c>
      <c r="AB426" s="355" t="s">
        <v>802</v>
      </c>
      <c r="AC426" s="352">
        <v>600</v>
      </c>
      <c r="AD426" s="353">
        <f>AD427</f>
        <v>4396</v>
      </c>
      <c r="AE426" s="353">
        <f>AE427</f>
        <v>4396</v>
      </c>
      <c r="AF426" s="468">
        <f t="shared" si="135"/>
        <v>4396</v>
      </c>
      <c r="AG426" s="478">
        <f t="shared" si="113"/>
        <v>1</v>
      </c>
      <c r="AH426" s="24"/>
      <c r="AI426" s="24"/>
      <c r="AJ426" s="115"/>
    </row>
    <row r="427" spans="1:36" s="80" customFormat="1" x14ac:dyDescent="0.25">
      <c r="A427" s="17"/>
      <c r="B427" s="66"/>
      <c r="C427" s="67"/>
      <c r="D427" s="67"/>
      <c r="E427" s="14"/>
      <c r="F427" s="14"/>
      <c r="G427" s="68"/>
      <c r="H427" s="68"/>
      <c r="I427" s="68"/>
      <c r="J427" s="68"/>
      <c r="K427" s="68"/>
      <c r="L427" s="61"/>
      <c r="M427" s="68"/>
      <c r="N427" s="61"/>
      <c r="O427" s="74"/>
      <c r="P427" s="68"/>
      <c r="Q427" s="69"/>
      <c r="R427" s="19"/>
      <c r="S427" s="19"/>
      <c r="T427" s="19"/>
      <c r="U427" s="19"/>
      <c r="V427" s="19"/>
      <c r="W427" s="19"/>
      <c r="X427" s="347" t="s">
        <v>62</v>
      </c>
      <c r="Y427" s="348" t="s">
        <v>64</v>
      </c>
      <c r="Z427" s="349" t="s">
        <v>16</v>
      </c>
      <c r="AA427" s="350" t="s">
        <v>29</v>
      </c>
      <c r="AB427" s="355" t="s">
        <v>802</v>
      </c>
      <c r="AC427" s="352">
        <v>610</v>
      </c>
      <c r="AD427" s="353">
        <v>4396</v>
      </c>
      <c r="AE427" s="353">
        <v>4396</v>
      </c>
      <c r="AF427" s="468">
        <v>4396</v>
      </c>
      <c r="AG427" s="478">
        <f t="shared" si="113"/>
        <v>1</v>
      </c>
      <c r="AH427" s="24"/>
      <c r="AI427" s="24"/>
      <c r="AJ427" s="115"/>
    </row>
    <row r="428" spans="1:36" s="80" customFormat="1" ht="35.450000000000003" customHeight="1" x14ac:dyDescent="0.25">
      <c r="A428" s="17"/>
      <c r="B428" s="66"/>
      <c r="C428" s="67"/>
      <c r="D428" s="67"/>
      <c r="E428" s="14"/>
      <c r="F428" s="14"/>
      <c r="G428" s="68"/>
      <c r="H428" s="68"/>
      <c r="I428" s="68"/>
      <c r="J428" s="68"/>
      <c r="K428" s="68"/>
      <c r="L428" s="61"/>
      <c r="M428" s="68"/>
      <c r="N428" s="61"/>
      <c r="O428" s="74"/>
      <c r="P428" s="68"/>
      <c r="Q428" s="69"/>
      <c r="R428" s="19"/>
      <c r="S428" s="19"/>
      <c r="T428" s="19"/>
      <c r="U428" s="19"/>
      <c r="V428" s="19"/>
      <c r="W428" s="19"/>
      <c r="X428" s="347" t="s">
        <v>736</v>
      </c>
      <c r="Y428" s="348" t="s">
        <v>64</v>
      </c>
      <c r="Z428" s="349" t="s">
        <v>16</v>
      </c>
      <c r="AA428" s="350" t="s">
        <v>29</v>
      </c>
      <c r="AB428" s="355" t="s">
        <v>737</v>
      </c>
      <c r="AC428" s="357"/>
      <c r="AD428" s="353">
        <f>AD429</f>
        <v>1212.2</v>
      </c>
      <c r="AE428" s="353">
        <f>AE429</f>
        <v>1212.2</v>
      </c>
      <c r="AF428" s="468">
        <f t="shared" ref="AF428:AF429" si="136">AF429</f>
        <v>1114.5</v>
      </c>
      <c r="AG428" s="478">
        <f t="shared" si="113"/>
        <v>0.91940273882197654</v>
      </c>
      <c r="AH428" s="24"/>
      <c r="AI428" s="24"/>
      <c r="AJ428" s="115"/>
    </row>
    <row r="429" spans="1:36" s="80" customFormat="1" ht="31.5" x14ac:dyDescent="0.25">
      <c r="A429" s="17"/>
      <c r="B429" s="66"/>
      <c r="C429" s="67"/>
      <c r="D429" s="67"/>
      <c r="E429" s="14"/>
      <c r="F429" s="14"/>
      <c r="G429" s="68"/>
      <c r="H429" s="68"/>
      <c r="I429" s="68"/>
      <c r="J429" s="68"/>
      <c r="K429" s="68"/>
      <c r="L429" s="61"/>
      <c r="M429" s="68"/>
      <c r="N429" s="61"/>
      <c r="O429" s="74"/>
      <c r="P429" s="68"/>
      <c r="Q429" s="69"/>
      <c r="R429" s="19"/>
      <c r="S429" s="19"/>
      <c r="T429" s="19"/>
      <c r="U429" s="19"/>
      <c r="V429" s="19"/>
      <c r="W429" s="19"/>
      <c r="X429" s="347" t="s">
        <v>61</v>
      </c>
      <c r="Y429" s="348" t="s">
        <v>64</v>
      </c>
      <c r="Z429" s="349" t="s">
        <v>16</v>
      </c>
      <c r="AA429" s="350" t="s">
        <v>29</v>
      </c>
      <c r="AB429" s="355" t="s">
        <v>737</v>
      </c>
      <c r="AC429" s="357">
        <v>600</v>
      </c>
      <c r="AD429" s="353">
        <f>AD430</f>
        <v>1212.2</v>
      </c>
      <c r="AE429" s="353">
        <f>AE430</f>
        <v>1212.2</v>
      </c>
      <c r="AF429" s="468">
        <f t="shared" si="136"/>
        <v>1114.5</v>
      </c>
      <c r="AG429" s="478">
        <f t="shared" si="113"/>
        <v>0.91940273882197654</v>
      </c>
      <c r="AH429" s="24"/>
      <c r="AI429" s="24"/>
      <c r="AJ429" s="115"/>
    </row>
    <row r="430" spans="1:36" s="80" customFormat="1" x14ac:dyDescent="0.25">
      <c r="A430" s="17"/>
      <c r="B430" s="66"/>
      <c r="C430" s="67"/>
      <c r="D430" s="67"/>
      <c r="E430" s="14"/>
      <c r="F430" s="14"/>
      <c r="G430" s="68"/>
      <c r="H430" s="68"/>
      <c r="I430" s="68"/>
      <c r="J430" s="68"/>
      <c r="K430" s="68"/>
      <c r="L430" s="61"/>
      <c r="M430" s="68"/>
      <c r="N430" s="61"/>
      <c r="O430" s="74"/>
      <c r="P430" s="68"/>
      <c r="Q430" s="69"/>
      <c r="R430" s="19"/>
      <c r="S430" s="19"/>
      <c r="T430" s="19"/>
      <c r="U430" s="19"/>
      <c r="V430" s="19"/>
      <c r="W430" s="19"/>
      <c r="X430" s="347" t="s">
        <v>62</v>
      </c>
      <c r="Y430" s="348" t="s">
        <v>64</v>
      </c>
      <c r="Z430" s="349" t="s">
        <v>16</v>
      </c>
      <c r="AA430" s="350" t="s">
        <v>29</v>
      </c>
      <c r="AB430" s="355" t="s">
        <v>737</v>
      </c>
      <c r="AC430" s="357">
        <v>610</v>
      </c>
      <c r="AD430" s="353">
        <v>1212.2</v>
      </c>
      <c r="AE430" s="353">
        <v>1212.2</v>
      </c>
      <c r="AF430" s="468">
        <v>1114.5</v>
      </c>
      <c r="AG430" s="478">
        <f t="shared" si="113"/>
        <v>0.91940273882197654</v>
      </c>
      <c r="AH430" s="24"/>
      <c r="AI430" s="24"/>
      <c r="AJ430" s="115"/>
    </row>
    <row r="431" spans="1:36" s="80" customFormat="1" x14ac:dyDescent="0.25">
      <c r="A431" s="17"/>
      <c r="B431" s="66"/>
      <c r="C431" s="67"/>
      <c r="D431" s="67"/>
      <c r="E431" s="14"/>
      <c r="F431" s="14"/>
      <c r="G431" s="68"/>
      <c r="H431" s="68"/>
      <c r="I431" s="68"/>
      <c r="J431" s="68"/>
      <c r="K431" s="68"/>
      <c r="L431" s="61"/>
      <c r="M431" s="68"/>
      <c r="N431" s="61"/>
      <c r="O431" s="74"/>
      <c r="P431" s="68"/>
      <c r="Q431" s="69"/>
      <c r="R431" s="19"/>
      <c r="S431" s="19"/>
      <c r="T431" s="19"/>
      <c r="U431" s="19"/>
      <c r="V431" s="19"/>
      <c r="W431" s="19"/>
      <c r="X431" s="347" t="s">
        <v>740</v>
      </c>
      <c r="Y431" s="348" t="s">
        <v>64</v>
      </c>
      <c r="Z431" s="349" t="s">
        <v>22</v>
      </c>
      <c r="AA431" s="350"/>
      <c r="AB431" s="355"/>
      <c r="AC431" s="357"/>
      <c r="AD431" s="353">
        <f t="shared" ref="AD431:AE437" si="137">AD432</f>
        <v>60</v>
      </c>
      <c r="AE431" s="353">
        <f t="shared" si="137"/>
        <v>60</v>
      </c>
      <c r="AF431" s="468">
        <f t="shared" ref="AF431:AF437" si="138">AF432</f>
        <v>60</v>
      </c>
      <c r="AG431" s="478">
        <f t="shared" si="113"/>
        <v>1</v>
      </c>
      <c r="AH431" s="24"/>
      <c r="AI431" s="24"/>
      <c r="AJ431" s="115"/>
    </row>
    <row r="432" spans="1:36" s="80" customFormat="1" x14ac:dyDescent="0.25">
      <c r="A432" s="17"/>
      <c r="B432" s="66"/>
      <c r="C432" s="67"/>
      <c r="D432" s="67"/>
      <c r="E432" s="14"/>
      <c r="F432" s="14"/>
      <c r="G432" s="68"/>
      <c r="H432" s="68"/>
      <c r="I432" s="68"/>
      <c r="J432" s="68"/>
      <c r="K432" s="68"/>
      <c r="L432" s="61"/>
      <c r="M432" s="68"/>
      <c r="N432" s="61"/>
      <c r="O432" s="74"/>
      <c r="P432" s="68"/>
      <c r="Q432" s="69"/>
      <c r="R432" s="19"/>
      <c r="S432" s="19"/>
      <c r="T432" s="19"/>
      <c r="U432" s="19"/>
      <c r="V432" s="19"/>
      <c r="W432" s="19"/>
      <c r="X432" s="347" t="s">
        <v>741</v>
      </c>
      <c r="Y432" s="348" t="s">
        <v>64</v>
      </c>
      <c r="Z432" s="349" t="s">
        <v>22</v>
      </c>
      <c r="AA432" s="350" t="s">
        <v>22</v>
      </c>
      <c r="AB432" s="355"/>
      <c r="AC432" s="357"/>
      <c r="AD432" s="353">
        <f t="shared" si="137"/>
        <v>60</v>
      </c>
      <c r="AE432" s="353">
        <f t="shared" si="137"/>
        <v>60</v>
      </c>
      <c r="AF432" s="468">
        <f t="shared" si="138"/>
        <v>60</v>
      </c>
      <c r="AG432" s="478">
        <f t="shared" si="113"/>
        <v>1</v>
      </c>
      <c r="AH432" s="24"/>
      <c r="AI432" s="24"/>
      <c r="AJ432" s="115"/>
    </row>
    <row r="433" spans="1:36" s="80" customFormat="1" x14ac:dyDescent="0.25">
      <c r="A433" s="17"/>
      <c r="B433" s="66"/>
      <c r="C433" s="67"/>
      <c r="D433" s="67"/>
      <c r="E433" s="14"/>
      <c r="F433" s="14"/>
      <c r="G433" s="68"/>
      <c r="H433" s="68"/>
      <c r="I433" s="68"/>
      <c r="J433" s="68"/>
      <c r="K433" s="68"/>
      <c r="L433" s="61"/>
      <c r="M433" s="68"/>
      <c r="N433" s="61"/>
      <c r="O433" s="74"/>
      <c r="P433" s="68"/>
      <c r="Q433" s="69"/>
      <c r="R433" s="19"/>
      <c r="S433" s="19"/>
      <c r="T433" s="19"/>
      <c r="U433" s="19"/>
      <c r="V433" s="19"/>
      <c r="W433" s="19"/>
      <c r="X433" s="347" t="s">
        <v>738</v>
      </c>
      <c r="Y433" s="348" t="s">
        <v>64</v>
      </c>
      <c r="Z433" s="349" t="s">
        <v>22</v>
      </c>
      <c r="AA433" s="350" t="s">
        <v>22</v>
      </c>
      <c r="AB433" s="355" t="s">
        <v>742</v>
      </c>
      <c r="AC433" s="357"/>
      <c r="AD433" s="353">
        <f t="shared" si="137"/>
        <v>60</v>
      </c>
      <c r="AE433" s="353">
        <f t="shared" si="137"/>
        <v>60</v>
      </c>
      <c r="AF433" s="468">
        <f t="shared" si="138"/>
        <v>60</v>
      </c>
      <c r="AG433" s="478">
        <f t="shared" si="113"/>
        <v>1</v>
      </c>
      <c r="AH433" s="24"/>
      <c r="AI433" s="24"/>
      <c r="AJ433" s="115"/>
    </row>
    <row r="434" spans="1:36" s="80" customFormat="1" x14ac:dyDescent="0.25">
      <c r="A434" s="17"/>
      <c r="B434" s="66"/>
      <c r="C434" s="67"/>
      <c r="D434" s="67"/>
      <c r="E434" s="14"/>
      <c r="F434" s="14"/>
      <c r="G434" s="68"/>
      <c r="H434" s="68"/>
      <c r="I434" s="68"/>
      <c r="J434" s="68"/>
      <c r="K434" s="68"/>
      <c r="L434" s="61"/>
      <c r="M434" s="68"/>
      <c r="N434" s="61"/>
      <c r="O434" s="74"/>
      <c r="P434" s="68"/>
      <c r="Q434" s="69"/>
      <c r="R434" s="19"/>
      <c r="S434" s="19"/>
      <c r="T434" s="19"/>
      <c r="U434" s="19"/>
      <c r="V434" s="19"/>
      <c r="W434" s="19"/>
      <c r="X434" s="347" t="s">
        <v>739</v>
      </c>
      <c r="Y434" s="348" t="s">
        <v>64</v>
      </c>
      <c r="Z434" s="349" t="s">
        <v>22</v>
      </c>
      <c r="AA434" s="350" t="s">
        <v>22</v>
      </c>
      <c r="AB434" s="355" t="s">
        <v>743</v>
      </c>
      <c r="AC434" s="357"/>
      <c r="AD434" s="353">
        <f t="shared" si="137"/>
        <v>60</v>
      </c>
      <c r="AE434" s="353">
        <f t="shared" si="137"/>
        <v>60</v>
      </c>
      <c r="AF434" s="468">
        <f t="shared" si="138"/>
        <v>60</v>
      </c>
      <c r="AG434" s="478">
        <f t="shared" si="113"/>
        <v>1</v>
      </c>
      <c r="AH434" s="24"/>
      <c r="AI434" s="24"/>
      <c r="AJ434" s="115"/>
    </row>
    <row r="435" spans="1:36" s="80" customFormat="1" ht="39.6" customHeight="1" x14ac:dyDescent="0.25">
      <c r="A435" s="17"/>
      <c r="B435" s="66"/>
      <c r="C435" s="67"/>
      <c r="D435" s="67"/>
      <c r="E435" s="14"/>
      <c r="F435" s="14"/>
      <c r="G435" s="68"/>
      <c r="H435" s="68"/>
      <c r="I435" s="68"/>
      <c r="J435" s="68"/>
      <c r="K435" s="68"/>
      <c r="L435" s="61"/>
      <c r="M435" s="68"/>
      <c r="N435" s="61"/>
      <c r="O435" s="74"/>
      <c r="P435" s="68"/>
      <c r="Q435" s="69"/>
      <c r="R435" s="19"/>
      <c r="S435" s="19"/>
      <c r="T435" s="19"/>
      <c r="U435" s="19"/>
      <c r="V435" s="19"/>
      <c r="W435" s="19"/>
      <c r="X435" s="347" t="s">
        <v>746</v>
      </c>
      <c r="Y435" s="348" t="s">
        <v>64</v>
      </c>
      <c r="Z435" s="349" t="s">
        <v>22</v>
      </c>
      <c r="AA435" s="350" t="s">
        <v>22</v>
      </c>
      <c r="AB435" s="355" t="s">
        <v>745</v>
      </c>
      <c r="AC435" s="357"/>
      <c r="AD435" s="353">
        <f t="shared" si="137"/>
        <v>60</v>
      </c>
      <c r="AE435" s="353">
        <f t="shared" si="137"/>
        <v>60</v>
      </c>
      <c r="AF435" s="468">
        <f t="shared" si="138"/>
        <v>60</v>
      </c>
      <c r="AG435" s="478">
        <f t="shared" si="113"/>
        <v>1</v>
      </c>
      <c r="AH435" s="24"/>
      <c r="AI435" s="24"/>
      <c r="AJ435" s="115"/>
    </row>
    <row r="436" spans="1:36" s="80" customFormat="1" ht="55.15" customHeight="1" x14ac:dyDescent="0.25">
      <c r="A436" s="17"/>
      <c r="B436" s="66"/>
      <c r="C436" s="67"/>
      <c r="D436" s="67"/>
      <c r="E436" s="14"/>
      <c r="F436" s="14"/>
      <c r="G436" s="68"/>
      <c r="H436" s="68"/>
      <c r="I436" s="68"/>
      <c r="J436" s="68"/>
      <c r="K436" s="68"/>
      <c r="L436" s="61"/>
      <c r="M436" s="68"/>
      <c r="N436" s="61"/>
      <c r="O436" s="74"/>
      <c r="P436" s="68"/>
      <c r="Q436" s="69"/>
      <c r="R436" s="19"/>
      <c r="S436" s="19"/>
      <c r="T436" s="19"/>
      <c r="U436" s="19"/>
      <c r="V436" s="19"/>
      <c r="W436" s="19"/>
      <c r="X436" s="347" t="s">
        <v>744</v>
      </c>
      <c r="Y436" s="348" t="s">
        <v>64</v>
      </c>
      <c r="Z436" s="349" t="s">
        <v>22</v>
      </c>
      <c r="AA436" s="350" t="s">
        <v>22</v>
      </c>
      <c r="AB436" s="355" t="s">
        <v>747</v>
      </c>
      <c r="AC436" s="357"/>
      <c r="AD436" s="353">
        <f t="shared" si="137"/>
        <v>60</v>
      </c>
      <c r="AE436" s="353">
        <f t="shared" si="137"/>
        <v>60</v>
      </c>
      <c r="AF436" s="468">
        <f t="shared" si="138"/>
        <v>60</v>
      </c>
      <c r="AG436" s="478">
        <f t="shared" si="113"/>
        <v>1</v>
      </c>
      <c r="AH436" s="24"/>
      <c r="AI436" s="24"/>
      <c r="AJ436" s="115"/>
    </row>
    <row r="437" spans="1:36" s="80" customFormat="1" x14ac:dyDescent="0.25">
      <c r="A437" s="17"/>
      <c r="B437" s="66"/>
      <c r="C437" s="67"/>
      <c r="D437" s="67"/>
      <c r="E437" s="14"/>
      <c r="F437" s="14"/>
      <c r="G437" s="68"/>
      <c r="H437" s="68"/>
      <c r="I437" s="68"/>
      <c r="J437" s="68"/>
      <c r="K437" s="68"/>
      <c r="L437" s="61"/>
      <c r="M437" s="68"/>
      <c r="N437" s="61"/>
      <c r="O437" s="74"/>
      <c r="P437" s="68"/>
      <c r="Q437" s="69"/>
      <c r="R437" s="19"/>
      <c r="S437" s="19"/>
      <c r="T437" s="19"/>
      <c r="U437" s="19"/>
      <c r="V437" s="19"/>
      <c r="W437" s="19"/>
      <c r="X437" s="405" t="s">
        <v>98</v>
      </c>
      <c r="Y437" s="348" t="s">
        <v>64</v>
      </c>
      <c r="Z437" s="349" t="s">
        <v>22</v>
      </c>
      <c r="AA437" s="350" t="s">
        <v>22</v>
      </c>
      <c r="AB437" s="355" t="s">
        <v>747</v>
      </c>
      <c r="AC437" s="350">
        <v>300</v>
      </c>
      <c r="AD437" s="353">
        <f t="shared" si="137"/>
        <v>60</v>
      </c>
      <c r="AE437" s="353">
        <f t="shared" si="137"/>
        <v>60</v>
      </c>
      <c r="AF437" s="468">
        <f t="shared" si="138"/>
        <v>60</v>
      </c>
      <c r="AG437" s="478">
        <f t="shared" si="113"/>
        <v>1</v>
      </c>
      <c r="AH437" s="24"/>
      <c r="AI437" s="24"/>
      <c r="AJ437" s="115"/>
    </row>
    <row r="438" spans="1:36" s="80" customFormat="1" x14ac:dyDescent="0.25">
      <c r="A438" s="17"/>
      <c r="B438" s="66"/>
      <c r="C438" s="67"/>
      <c r="D438" s="67"/>
      <c r="E438" s="14"/>
      <c r="F438" s="14"/>
      <c r="G438" s="68"/>
      <c r="H438" s="68"/>
      <c r="I438" s="68"/>
      <c r="J438" s="68"/>
      <c r="K438" s="68"/>
      <c r="L438" s="61"/>
      <c r="M438" s="68"/>
      <c r="N438" s="61"/>
      <c r="O438" s="74"/>
      <c r="P438" s="68"/>
      <c r="Q438" s="69"/>
      <c r="R438" s="19"/>
      <c r="S438" s="19"/>
      <c r="T438" s="19"/>
      <c r="U438" s="19"/>
      <c r="V438" s="19"/>
      <c r="W438" s="19"/>
      <c r="X438" s="405" t="s">
        <v>40</v>
      </c>
      <c r="Y438" s="348" t="s">
        <v>64</v>
      </c>
      <c r="Z438" s="349" t="s">
        <v>22</v>
      </c>
      <c r="AA438" s="350" t="s">
        <v>22</v>
      </c>
      <c r="AB438" s="355" t="s">
        <v>747</v>
      </c>
      <c r="AC438" s="350">
        <v>320</v>
      </c>
      <c r="AD438" s="353">
        <f>100+180-220</f>
        <v>60</v>
      </c>
      <c r="AE438" s="353">
        <f>100+180-220</f>
        <v>60</v>
      </c>
      <c r="AF438" s="468">
        <v>60</v>
      </c>
      <c r="AG438" s="478">
        <f t="shared" si="113"/>
        <v>1</v>
      </c>
      <c r="AH438" s="24"/>
      <c r="AI438" s="24"/>
      <c r="AJ438" s="115"/>
    </row>
    <row r="439" spans="1:36" s="65" customFormat="1" ht="31.5" x14ac:dyDescent="0.25">
      <c r="A439" s="56"/>
      <c r="B439" s="57"/>
      <c r="C439" s="59"/>
      <c r="D439" s="60"/>
      <c r="E439" s="60"/>
      <c r="F439" s="60"/>
      <c r="G439" s="61"/>
      <c r="H439" s="61"/>
      <c r="I439" s="61"/>
      <c r="J439" s="61"/>
      <c r="K439" s="61"/>
      <c r="L439" s="61"/>
      <c r="M439" s="61"/>
      <c r="N439" s="61"/>
      <c r="O439" s="62"/>
      <c r="P439" s="61"/>
      <c r="Q439" s="63"/>
      <c r="R439" s="64"/>
      <c r="S439" s="64"/>
      <c r="T439" s="64"/>
      <c r="U439" s="64"/>
      <c r="V439" s="64"/>
      <c r="W439" s="64"/>
      <c r="X439" s="347" t="s">
        <v>734</v>
      </c>
      <c r="Y439" s="341" t="s">
        <v>64</v>
      </c>
      <c r="Z439" s="378" t="s">
        <v>36</v>
      </c>
      <c r="AA439" s="400"/>
      <c r="AB439" s="344"/>
      <c r="AC439" s="345"/>
      <c r="AD439" s="346">
        <f>AD440+AD452+AD447</f>
        <v>4906.8999999999996</v>
      </c>
      <c r="AE439" s="346">
        <f>AE440+AE452+AE447</f>
        <v>4906.8999999999996</v>
      </c>
      <c r="AF439" s="467">
        <f>AF440+AF452+AF447</f>
        <v>4906.8999999999996</v>
      </c>
      <c r="AG439" s="477">
        <f t="shared" ref="AG439:AG502" si="139">AF439/AE439</f>
        <v>1</v>
      </c>
      <c r="AH439" s="160"/>
      <c r="AI439" s="160"/>
      <c r="AJ439" s="115"/>
    </row>
    <row r="440" spans="1:36" s="80" customFormat="1" x14ac:dyDescent="0.25">
      <c r="A440" s="17"/>
      <c r="B440" s="66"/>
      <c r="C440" s="67"/>
      <c r="D440" s="67"/>
      <c r="E440" s="14"/>
      <c r="F440" s="67"/>
      <c r="G440" s="68"/>
      <c r="H440" s="68"/>
      <c r="I440" s="68"/>
      <c r="J440" s="68"/>
      <c r="K440" s="68"/>
      <c r="L440" s="61"/>
      <c r="M440" s="68"/>
      <c r="N440" s="61"/>
      <c r="O440" s="33"/>
      <c r="P440" s="68"/>
      <c r="Q440" s="69"/>
      <c r="R440" s="19"/>
      <c r="S440" s="19"/>
      <c r="T440" s="19"/>
      <c r="U440" s="19"/>
      <c r="V440" s="19"/>
      <c r="W440" s="19"/>
      <c r="X440" s="347" t="s">
        <v>56</v>
      </c>
      <c r="Y440" s="348" t="s">
        <v>64</v>
      </c>
      <c r="Z440" s="349">
        <v>10</v>
      </c>
      <c r="AA440" s="350" t="s">
        <v>29</v>
      </c>
      <c r="AB440" s="351"/>
      <c r="AC440" s="393"/>
      <c r="AD440" s="353">
        <f>AD441</f>
        <v>3598.9</v>
      </c>
      <c r="AE440" s="353">
        <f>AE441</f>
        <v>3598.9</v>
      </c>
      <c r="AF440" s="468">
        <f>AF441</f>
        <v>3598.9</v>
      </c>
      <c r="AG440" s="478">
        <f t="shared" si="139"/>
        <v>1</v>
      </c>
      <c r="AH440" s="24"/>
      <c r="AI440" s="24"/>
      <c r="AJ440" s="115"/>
    </row>
    <row r="441" spans="1:36" s="80" customFormat="1" x14ac:dyDescent="0.25">
      <c r="A441" s="72"/>
      <c r="B441" s="66"/>
      <c r="C441" s="67"/>
      <c r="D441" s="67"/>
      <c r="E441" s="14"/>
      <c r="F441" s="67"/>
      <c r="G441" s="68"/>
      <c r="H441" s="68"/>
      <c r="I441" s="68"/>
      <c r="J441" s="68"/>
      <c r="K441" s="68"/>
      <c r="L441" s="61"/>
      <c r="M441" s="68"/>
      <c r="N441" s="61"/>
      <c r="O441" s="33"/>
      <c r="P441" s="68"/>
      <c r="Q441" s="69"/>
      <c r="R441" s="19"/>
      <c r="S441" s="19"/>
      <c r="T441" s="19"/>
      <c r="U441" s="19"/>
      <c r="V441" s="19"/>
      <c r="W441" s="19"/>
      <c r="X441" s="354" t="s">
        <v>300</v>
      </c>
      <c r="Y441" s="348" t="s">
        <v>64</v>
      </c>
      <c r="Z441" s="349">
        <v>10</v>
      </c>
      <c r="AA441" s="350" t="s">
        <v>29</v>
      </c>
      <c r="AB441" s="355" t="s">
        <v>110</v>
      </c>
      <c r="AC441" s="393"/>
      <c r="AD441" s="353">
        <f>AD443</f>
        <v>3598.9</v>
      </c>
      <c r="AE441" s="353">
        <f>AE443</f>
        <v>3598.9</v>
      </c>
      <c r="AF441" s="468">
        <f>AF443</f>
        <v>3598.9</v>
      </c>
      <c r="AG441" s="478">
        <f t="shared" si="139"/>
        <v>1</v>
      </c>
      <c r="AH441" s="24"/>
      <c r="AI441" s="24"/>
      <c r="AJ441" s="115"/>
    </row>
    <row r="442" spans="1:36" s="80" customFormat="1" x14ac:dyDescent="0.25">
      <c r="A442" s="72"/>
      <c r="B442" s="66"/>
      <c r="C442" s="67"/>
      <c r="D442" s="67"/>
      <c r="E442" s="14"/>
      <c r="F442" s="67"/>
      <c r="G442" s="68"/>
      <c r="H442" s="68"/>
      <c r="I442" s="68"/>
      <c r="J442" s="68"/>
      <c r="K442" s="68"/>
      <c r="L442" s="61"/>
      <c r="M442" s="68"/>
      <c r="N442" s="61"/>
      <c r="O442" s="33"/>
      <c r="P442" s="68"/>
      <c r="Q442" s="69"/>
      <c r="R442" s="19"/>
      <c r="S442" s="19"/>
      <c r="T442" s="19"/>
      <c r="U442" s="19"/>
      <c r="V442" s="19"/>
      <c r="W442" s="19"/>
      <c r="X442" s="354" t="s">
        <v>301</v>
      </c>
      <c r="Y442" s="348" t="s">
        <v>64</v>
      </c>
      <c r="Z442" s="349">
        <v>10</v>
      </c>
      <c r="AA442" s="350" t="s">
        <v>29</v>
      </c>
      <c r="AB442" s="355" t="s">
        <v>119</v>
      </c>
      <c r="AC442" s="393"/>
      <c r="AD442" s="353">
        <f>AD443</f>
        <v>3598.9</v>
      </c>
      <c r="AE442" s="353">
        <f>AE443</f>
        <v>3598.9</v>
      </c>
      <c r="AF442" s="468">
        <f>AF443</f>
        <v>3598.9</v>
      </c>
      <c r="AG442" s="478">
        <f t="shared" si="139"/>
        <v>1</v>
      </c>
      <c r="AH442" s="24"/>
      <c r="AI442" s="24"/>
      <c r="AJ442" s="115"/>
    </row>
    <row r="443" spans="1:36" s="80" customFormat="1" ht="33.6" customHeight="1" x14ac:dyDescent="0.25">
      <c r="A443" s="72"/>
      <c r="B443" s="66"/>
      <c r="C443" s="67"/>
      <c r="D443" s="67"/>
      <c r="E443" s="14"/>
      <c r="F443" s="67"/>
      <c r="G443" s="68"/>
      <c r="H443" s="68"/>
      <c r="I443" s="68"/>
      <c r="J443" s="68"/>
      <c r="K443" s="68"/>
      <c r="L443" s="61"/>
      <c r="M443" s="68"/>
      <c r="N443" s="61"/>
      <c r="O443" s="33"/>
      <c r="P443" s="68"/>
      <c r="Q443" s="69"/>
      <c r="R443" s="19"/>
      <c r="S443" s="19"/>
      <c r="T443" s="19"/>
      <c r="U443" s="19"/>
      <c r="V443" s="19"/>
      <c r="W443" s="19"/>
      <c r="X443" s="354" t="s">
        <v>498</v>
      </c>
      <c r="Y443" s="348" t="s">
        <v>64</v>
      </c>
      <c r="Z443" s="349">
        <v>10</v>
      </c>
      <c r="AA443" s="350" t="s">
        <v>29</v>
      </c>
      <c r="AB443" s="355" t="s">
        <v>497</v>
      </c>
      <c r="AC443" s="393"/>
      <c r="AD443" s="353">
        <f t="shared" ref="AD443:AF445" si="140">AD444</f>
        <v>3598.9</v>
      </c>
      <c r="AE443" s="353">
        <f t="shared" si="140"/>
        <v>3598.9</v>
      </c>
      <c r="AF443" s="468">
        <f t="shared" si="140"/>
        <v>3598.9</v>
      </c>
      <c r="AG443" s="478">
        <f t="shared" si="139"/>
        <v>1</v>
      </c>
      <c r="AH443" s="24"/>
      <c r="AI443" s="24"/>
      <c r="AJ443" s="115"/>
    </row>
    <row r="444" spans="1:36" s="80" customFormat="1" ht="31.5" x14ac:dyDescent="0.25">
      <c r="A444" s="72"/>
      <c r="B444" s="66"/>
      <c r="C444" s="67"/>
      <c r="D444" s="67"/>
      <c r="E444" s="14"/>
      <c r="F444" s="67"/>
      <c r="G444" s="68"/>
      <c r="H444" s="68"/>
      <c r="I444" s="68"/>
      <c r="J444" s="68"/>
      <c r="K444" s="68"/>
      <c r="L444" s="61"/>
      <c r="M444" s="68"/>
      <c r="N444" s="61"/>
      <c r="O444" s="33"/>
      <c r="P444" s="68"/>
      <c r="Q444" s="69"/>
      <c r="R444" s="19"/>
      <c r="S444" s="19"/>
      <c r="T444" s="19"/>
      <c r="U444" s="19"/>
      <c r="V444" s="19"/>
      <c r="W444" s="19"/>
      <c r="X444" s="368" t="s">
        <v>303</v>
      </c>
      <c r="Y444" s="348" t="s">
        <v>64</v>
      </c>
      <c r="Z444" s="349">
        <v>10</v>
      </c>
      <c r="AA444" s="350" t="s">
        <v>29</v>
      </c>
      <c r="AB444" s="355" t="s">
        <v>496</v>
      </c>
      <c r="AC444" s="393"/>
      <c r="AD444" s="353">
        <f t="shared" si="140"/>
        <v>3598.9</v>
      </c>
      <c r="AE444" s="353">
        <f t="shared" si="140"/>
        <v>3598.9</v>
      </c>
      <c r="AF444" s="468">
        <f t="shared" si="140"/>
        <v>3598.9</v>
      </c>
      <c r="AG444" s="478">
        <f t="shared" si="139"/>
        <v>1</v>
      </c>
      <c r="AH444" s="24"/>
      <c r="AI444" s="24"/>
      <c r="AJ444" s="115"/>
    </row>
    <row r="445" spans="1:36" s="80" customFormat="1" x14ac:dyDescent="0.25">
      <c r="A445" s="73"/>
      <c r="B445" s="66"/>
      <c r="C445" s="67"/>
      <c r="D445" s="67"/>
      <c r="E445" s="14"/>
      <c r="F445" s="67"/>
      <c r="G445" s="68"/>
      <c r="I445" s="18"/>
      <c r="J445" s="18"/>
      <c r="K445" s="18"/>
      <c r="L445" s="61"/>
      <c r="M445" s="18"/>
      <c r="N445" s="61"/>
      <c r="O445" s="33"/>
      <c r="P445" s="68"/>
      <c r="Q445" s="69"/>
      <c r="R445" s="19"/>
      <c r="S445" s="19"/>
      <c r="T445" s="19"/>
      <c r="U445" s="19"/>
      <c r="V445" s="19"/>
      <c r="X445" s="347" t="s">
        <v>98</v>
      </c>
      <c r="Y445" s="348" t="s">
        <v>64</v>
      </c>
      <c r="Z445" s="349">
        <v>10</v>
      </c>
      <c r="AA445" s="350" t="s">
        <v>29</v>
      </c>
      <c r="AB445" s="355" t="s">
        <v>496</v>
      </c>
      <c r="AC445" s="357">
        <v>300</v>
      </c>
      <c r="AD445" s="353">
        <f t="shared" si="140"/>
        <v>3598.9</v>
      </c>
      <c r="AE445" s="353">
        <f t="shared" si="140"/>
        <v>3598.9</v>
      </c>
      <c r="AF445" s="468">
        <f t="shared" si="140"/>
        <v>3598.9</v>
      </c>
      <c r="AG445" s="478">
        <f t="shared" si="139"/>
        <v>1</v>
      </c>
      <c r="AH445" s="24"/>
      <c r="AI445" s="24"/>
      <c r="AJ445" s="115"/>
    </row>
    <row r="446" spans="1:36" x14ac:dyDescent="0.25">
      <c r="B446" s="66"/>
      <c r="C446" s="67"/>
      <c r="D446" s="67"/>
      <c r="E446" s="14"/>
      <c r="F446" s="14"/>
      <c r="G446" s="68"/>
      <c r="H446" s="68"/>
      <c r="I446" s="68"/>
      <c r="J446" s="68"/>
      <c r="K446" s="68"/>
      <c r="L446" s="61"/>
      <c r="M446" s="68"/>
      <c r="N446" s="61"/>
      <c r="O446" s="68"/>
      <c r="P446" s="68"/>
      <c r="Q446" s="69"/>
      <c r="R446" s="19"/>
      <c r="S446" s="19"/>
      <c r="T446" s="19"/>
      <c r="U446" s="19"/>
      <c r="V446" s="19"/>
      <c r="W446" s="19"/>
      <c r="X446" s="347" t="s">
        <v>40</v>
      </c>
      <c r="Y446" s="348" t="s">
        <v>64</v>
      </c>
      <c r="Z446" s="349">
        <v>10</v>
      </c>
      <c r="AA446" s="350" t="s">
        <v>29</v>
      </c>
      <c r="AB446" s="355" t="s">
        <v>496</v>
      </c>
      <c r="AC446" s="357">
        <v>320</v>
      </c>
      <c r="AD446" s="353">
        <f>3463.6+135.3</f>
        <v>3598.9</v>
      </c>
      <c r="AE446" s="353">
        <f>3463.6+135.3</f>
        <v>3598.9</v>
      </c>
      <c r="AF446" s="468">
        <v>3598.9</v>
      </c>
      <c r="AG446" s="478">
        <f t="shared" si="139"/>
        <v>1</v>
      </c>
      <c r="AH446" s="24"/>
      <c r="AI446" s="24"/>
      <c r="AJ446" s="115"/>
    </row>
    <row r="447" spans="1:36" x14ac:dyDescent="0.25">
      <c r="B447" s="66"/>
      <c r="C447" s="67"/>
      <c r="D447" s="67"/>
      <c r="E447" s="14"/>
      <c r="F447" s="14"/>
      <c r="G447" s="68"/>
      <c r="H447" s="68"/>
      <c r="I447" s="68"/>
      <c r="J447" s="68"/>
      <c r="K447" s="68"/>
      <c r="L447" s="61"/>
      <c r="M447" s="68"/>
      <c r="N447" s="61"/>
      <c r="O447" s="68"/>
      <c r="P447" s="68"/>
      <c r="Q447" s="69"/>
      <c r="R447" s="19"/>
      <c r="S447" s="19"/>
      <c r="T447" s="19"/>
      <c r="U447" s="19"/>
      <c r="V447" s="19"/>
      <c r="W447" s="19"/>
      <c r="X447" s="347" t="s">
        <v>59</v>
      </c>
      <c r="Y447" s="348" t="s">
        <v>64</v>
      </c>
      <c r="Z447" s="349">
        <v>10</v>
      </c>
      <c r="AA447" s="349" t="s">
        <v>7</v>
      </c>
      <c r="AB447" s="406"/>
      <c r="AC447" s="357"/>
      <c r="AD447" s="353">
        <f t="shared" ref="AD447:AE450" si="141">AD448</f>
        <v>1168</v>
      </c>
      <c r="AE447" s="353">
        <f t="shared" si="141"/>
        <v>1168</v>
      </c>
      <c r="AF447" s="468">
        <f t="shared" ref="AF447:AF450" si="142">AF448</f>
        <v>1168</v>
      </c>
      <c r="AG447" s="478">
        <f t="shared" si="139"/>
        <v>1</v>
      </c>
      <c r="AH447" s="24"/>
      <c r="AI447" s="24"/>
      <c r="AJ447" s="115"/>
    </row>
    <row r="448" spans="1:36" x14ac:dyDescent="0.25">
      <c r="B448" s="66"/>
      <c r="C448" s="67"/>
      <c r="D448" s="67"/>
      <c r="E448" s="14"/>
      <c r="F448" s="14"/>
      <c r="G448" s="68"/>
      <c r="H448" s="68"/>
      <c r="I448" s="68"/>
      <c r="J448" s="68"/>
      <c r="K448" s="68"/>
      <c r="L448" s="61"/>
      <c r="M448" s="68"/>
      <c r="N448" s="61"/>
      <c r="O448" s="68"/>
      <c r="P448" s="68"/>
      <c r="Q448" s="69"/>
      <c r="R448" s="19"/>
      <c r="S448" s="19"/>
      <c r="T448" s="19"/>
      <c r="U448" s="19"/>
      <c r="V448" s="19"/>
      <c r="W448" s="19"/>
      <c r="X448" s="347" t="s">
        <v>344</v>
      </c>
      <c r="Y448" s="348" t="s">
        <v>64</v>
      </c>
      <c r="Z448" s="349">
        <v>10</v>
      </c>
      <c r="AA448" s="349" t="s">
        <v>7</v>
      </c>
      <c r="AB448" s="407" t="s">
        <v>138</v>
      </c>
      <c r="AC448" s="380"/>
      <c r="AD448" s="353">
        <f t="shared" si="141"/>
        <v>1168</v>
      </c>
      <c r="AE448" s="353">
        <f t="shared" si="141"/>
        <v>1168</v>
      </c>
      <c r="AF448" s="468">
        <f t="shared" si="142"/>
        <v>1168</v>
      </c>
      <c r="AG448" s="478">
        <f t="shared" si="139"/>
        <v>1</v>
      </c>
      <c r="AH448" s="24"/>
      <c r="AI448" s="24"/>
      <c r="AJ448" s="115"/>
    </row>
    <row r="449" spans="1:36" x14ac:dyDescent="0.25">
      <c r="B449" s="66"/>
      <c r="C449" s="67"/>
      <c r="D449" s="67"/>
      <c r="E449" s="14"/>
      <c r="F449" s="14"/>
      <c r="G449" s="68"/>
      <c r="H449" s="68"/>
      <c r="I449" s="68"/>
      <c r="J449" s="68"/>
      <c r="K449" s="68"/>
      <c r="L449" s="61"/>
      <c r="M449" s="68"/>
      <c r="N449" s="61"/>
      <c r="O449" s="68"/>
      <c r="P449" s="68"/>
      <c r="Q449" s="69"/>
      <c r="R449" s="19"/>
      <c r="S449" s="19"/>
      <c r="T449" s="19"/>
      <c r="U449" s="19"/>
      <c r="V449" s="19"/>
      <c r="W449" s="19"/>
      <c r="X449" s="368" t="s">
        <v>666</v>
      </c>
      <c r="Y449" s="348" t="s">
        <v>64</v>
      </c>
      <c r="Z449" s="349">
        <v>10</v>
      </c>
      <c r="AA449" s="349" t="s">
        <v>7</v>
      </c>
      <c r="AB449" s="408" t="s">
        <v>665</v>
      </c>
      <c r="AC449" s="380"/>
      <c r="AD449" s="353">
        <f t="shared" si="141"/>
        <v>1168</v>
      </c>
      <c r="AE449" s="353">
        <f t="shared" si="141"/>
        <v>1168</v>
      </c>
      <c r="AF449" s="468">
        <f t="shared" si="142"/>
        <v>1168</v>
      </c>
      <c r="AG449" s="478">
        <f t="shared" si="139"/>
        <v>1</v>
      </c>
      <c r="AH449" s="24"/>
      <c r="AI449" s="24"/>
      <c r="AJ449" s="115"/>
    </row>
    <row r="450" spans="1:36" x14ac:dyDescent="0.25">
      <c r="B450" s="66"/>
      <c r="C450" s="67"/>
      <c r="D450" s="67"/>
      <c r="E450" s="14"/>
      <c r="F450" s="14"/>
      <c r="G450" s="68"/>
      <c r="H450" s="68"/>
      <c r="I450" s="68"/>
      <c r="J450" s="68"/>
      <c r="K450" s="68"/>
      <c r="L450" s="61"/>
      <c r="M450" s="68"/>
      <c r="N450" s="61"/>
      <c r="O450" s="68"/>
      <c r="P450" s="68"/>
      <c r="Q450" s="69"/>
      <c r="R450" s="19"/>
      <c r="S450" s="19"/>
      <c r="T450" s="19"/>
      <c r="U450" s="19"/>
      <c r="V450" s="19"/>
      <c r="W450" s="19"/>
      <c r="X450" s="347" t="s">
        <v>98</v>
      </c>
      <c r="Y450" s="348" t="s">
        <v>64</v>
      </c>
      <c r="Z450" s="349">
        <v>10</v>
      </c>
      <c r="AA450" s="349" t="s">
        <v>7</v>
      </c>
      <c r="AB450" s="408" t="s">
        <v>665</v>
      </c>
      <c r="AC450" s="357">
        <v>300</v>
      </c>
      <c r="AD450" s="353">
        <f t="shared" si="141"/>
        <v>1168</v>
      </c>
      <c r="AE450" s="353">
        <f t="shared" si="141"/>
        <v>1168</v>
      </c>
      <c r="AF450" s="468">
        <f t="shared" si="142"/>
        <v>1168</v>
      </c>
      <c r="AG450" s="478">
        <f t="shared" si="139"/>
        <v>1</v>
      </c>
      <c r="AH450" s="24"/>
      <c r="AI450" s="24"/>
      <c r="AJ450" s="115"/>
    </row>
    <row r="451" spans="1:36" x14ac:dyDescent="0.25">
      <c r="B451" s="66"/>
      <c r="C451" s="67"/>
      <c r="D451" s="67"/>
      <c r="E451" s="14"/>
      <c r="F451" s="14"/>
      <c r="G451" s="68"/>
      <c r="H451" s="68"/>
      <c r="I451" s="68"/>
      <c r="J451" s="68"/>
      <c r="K451" s="68"/>
      <c r="L451" s="61"/>
      <c r="M451" s="68"/>
      <c r="N451" s="61"/>
      <c r="O451" s="68"/>
      <c r="P451" s="68"/>
      <c r="Q451" s="69"/>
      <c r="R451" s="19"/>
      <c r="S451" s="19"/>
      <c r="T451" s="19"/>
      <c r="U451" s="19"/>
      <c r="V451" s="19"/>
      <c r="W451" s="19"/>
      <c r="X451" s="347" t="s">
        <v>40</v>
      </c>
      <c r="Y451" s="348" t="s">
        <v>64</v>
      </c>
      <c r="Z451" s="349">
        <v>10</v>
      </c>
      <c r="AA451" s="349" t="s">
        <v>7</v>
      </c>
      <c r="AB451" s="408" t="s">
        <v>665</v>
      </c>
      <c r="AC451" s="357">
        <v>320</v>
      </c>
      <c r="AD451" s="353">
        <f>420+748</f>
        <v>1168</v>
      </c>
      <c r="AE451" s="353">
        <f>420+748</f>
        <v>1168</v>
      </c>
      <c r="AF451" s="468">
        <v>1168</v>
      </c>
      <c r="AG451" s="478">
        <f t="shared" si="139"/>
        <v>1</v>
      </c>
      <c r="AH451" s="24"/>
      <c r="AI451" s="24"/>
      <c r="AJ451" s="115"/>
    </row>
    <row r="452" spans="1:36" x14ac:dyDescent="0.25">
      <c r="A452" s="71"/>
      <c r="B452" s="66"/>
      <c r="C452" s="67"/>
      <c r="D452" s="67"/>
      <c r="E452" s="14"/>
      <c r="F452" s="14"/>
      <c r="G452" s="68"/>
      <c r="H452" s="68"/>
      <c r="I452" s="68"/>
      <c r="J452" s="68"/>
      <c r="K452" s="68"/>
      <c r="L452" s="61"/>
      <c r="M452" s="68"/>
      <c r="N452" s="61"/>
      <c r="O452" s="74"/>
      <c r="P452" s="68"/>
      <c r="Q452" s="69"/>
      <c r="R452" s="100"/>
      <c r="S452" s="69"/>
      <c r="T452" s="69"/>
      <c r="U452" s="69"/>
      <c r="V452" s="69"/>
      <c r="W452" s="69"/>
      <c r="X452" s="347" t="s">
        <v>33</v>
      </c>
      <c r="Y452" s="348" t="s">
        <v>64</v>
      </c>
      <c r="Z452" s="349">
        <v>10</v>
      </c>
      <c r="AA452" s="350" t="s">
        <v>96</v>
      </c>
      <c r="AB452" s="351"/>
      <c r="AC452" s="352"/>
      <c r="AD452" s="353">
        <f t="shared" ref="AD452:AF453" si="143">AD453</f>
        <v>140</v>
      </c>
      <c r="AE452" s="353">
        <f t="shared" si="143"/>
        <v>140</v>
      </c>
      <c r="AF452" s="468">
        <f t="shared" si="143"/>
        <v>140</v>
      </c>
      <c r="AG452" s="478">
        <f t="shared" si="139"/>
        <v>1</v>
      </c>
      <c r="AH452" s="24"/>
      <c r="AI452" s="24"/>
      <c r="AJ452" s="115"/>
    </row>
    <row r="453" spans="1:36" x14ac:dyDescent="0.25">
      <c r="B453" s="66"/>
      <c r="C453" s="67"/>
      <c r="D453" s="67"/>
      <c r="E453" s="14"/>
      <c r="F453" s="14"/>
      <c r="G453" s="68"/>
      <c r="H453" s="68"/>
      <c r="I453" s="68"/>
      <c r="J453" s="68"/>
      <c r="K453" s="68"/>
      <c r="L453" s="68"/>
      <c r="M453" s="68"/>
      <c r="N453" s="68"/>
      <c r="O453" s="74"/>
      <c r="P453" s="68"/>
      <c r="Q453" s="69"/>
      <c r="R453" s="100"/>
      <c r="S453" s="69"/>
      <c r="T453" s="69"/>
      <c r="U453" s="69"/>
      <c r="V453" s="69"/>
      <c r="W453" s="69"/>
      <c r="X453" s="354" t="s">
        <v>300</v>
      </c>
      <c r="Y453" s="348" t="s">
        <v>64</v>
      </c>
      <c r="Z453" s="349">
        <v>10</v>
      </c>
      <c r="AA453" s="350" t="s">
        <v>96</v>
      </c>
      <c r="AB453" s="355" t="s">
        <v>110</v>
      </c>
      <c r="AC453" s="352"/>
      <c r="AD453" s="353">
        <f>AD454</f>
        <v>140</v>
      </c>
      <c r="AE453" s="353">
        <f>AE454</f>
        <v>140</v>
      </c>
      <c r="AF453" s="468">
        <f t="shared" si="143"/>
        <v>140</v>
      </c>
      <c r="AG453" s="478">
        <f t="shared" si="139"/>
        <v>1</v>
      </c>
      <c r="AH453" s="24"/>
      <c r="AI453" s="24"/>
      <c r="AJ453" s="115"/>
    </row>
    <row r="454" spans="1:36" ht="31.5" x14ac:dyDescent="0.25">
      <c r="B454" s="66"/>
      <c r="C454" s="67"/>
      <c r="D454" s="67"/>
      <c r="E454" s="14"/>
      <c r="F454" s="14"/>
      <c r="G454" s="68"/>
      <c r="H454" s="68"/>
      <c r="I454" s="68"/>
      <c r="J454" s="68"/>
      <c r="K454" s="68"/>
      <c r="L454" s="68"/>
      <c r="M454" s="68"/>
      <c r="N454" s="68"/>
      <c r="O454" s="74"/>
      <c r="P454" s="68"/>
      <c r="Q454" s="69"/>
      <c r="R454" s="100"/>
      <c r="S454" s="69"/>
      <c r="T454" s="69"/>
      <c r="U454" s="69"/>
      <c r="V454" s="69"/>
      <c r="W454" s="69"/>
      <c r="X454" s="354" t="s">
        <v>359</v>
      </c>
      <c r="Y454" s="348" t="s">
        <v>64</v>
      </c>
      <c r="Z454" s="349">
        <v>10</v>
      </c>
      <c r="AA454" s="350" t="s">
        <v>96</v>
      </c>
      <c r="AB454" s="355" t="s">
        <v>559</v>
      </c>
      <c r="AC454" s="352"/>
      <c r="AD454" s="353">
        <f>AD455</f>
        <v>140</v>
      </c>
      <c r="AE454" s="353">
        <f>AE455</f>
        <v>140</v>
      </c>
      <c r="AF454" s="468">
        <f>AF455</f>
        <v>140</v>
      </c>
      <c r="AG454" s="478">
        <f t="shared" si="139"/>
        <v>1</v>
      </c>
      <c r="AH454" s="24"/>
      <c r="AI454" s="24"/>
      <c r="AJ454" s="115"/>
    </row>
    <row r="455" spans="1:36" x14ac:dyDescent="0.25">
      <c r="B455" s="66"/>
      <c r="C455" s="67"/>
      <c r="D455" s="67"/>
      <c r="E455" s="14"/>
      <c r="F455" s="14"/>
      <c r="G455" s="68"/>
      <c r="H455" s="68"/>
      <c r="I455" s="68"/>
      <c r="J455" s="68"/>
      <c r="K455" s="68"/>
      <c r="L455" s="68"/>
      <c r="M455" s="68"/>
      <c r="N455" s="68"/>
      <c r="O455" s="74"/>
      <c r="P455" s="68"/>
      <c r="Q455" s="69"/>
      <c r="R455" s="100"/>
      <c r="S455" s="69"/>
      <c r="T455" s="69"/>
      <c r="U455" s="69"/>
      <c r="V455" s="69"/>
      <c r="W455" s="69"/>
      <c r="X455" s="403" t="s">
        <v>561</v>
      </c>
      <c r="Y455" s="348" t="s">
        <v>64</v>
      </c>
      <c r="Z455" s="349">
        <v>10</v>
      </c>
      <c r="AA455" s="350" t="s">
        <v>96</v>
      </c>
      <c r="AB455" s="355" t="s">
        <v>560</v>
      </c>
      <c r="AC455" s="352"/>
      <c r="AD455" s="353">
        <f>AD459+AD456</f>
        <v>140</v>
      </c>
      <c r="AE455" s="353">
        <f>AE459+AE456</f>
        <v>140</v>
      </c>
      <c r="AF455" s="468">
        <f>AF459+AF456</f>
        <v>140</v>
      </c>
      <c r="AG455" s="478">
        <f t="shared" si="139"/>
        <v>1</v>
      </c>
      <c r="AH455" s="24"/>
      <c r="AI455" s="24"/>
      <c r="AJ455" s="115"/>
    </row>
    <row r="456" spans="1:36" x14ac:dyDescent="0.25">
      <c r="B456" s="66"/>
      <c r="C456" s="67"/>
      <c r="D456" s="67"/>
      <c r="E456" s="14"/>
      <c r="F456" s="14"/>
      <c r="G456" s="68"/>
      <c r="H456" s="68"/>
      <c r="I456" s="68"/>
      <c r="J456" s="68"/>
      <c r="K456" s="68"/>
      <c r="L456" s="68"/>
      <c r="M456" s="68"/>
      <c r="N456" s="68"/>
      <c r="O456" s="74"/>
      <c r="P456" s="68"/>
      <c r="Q456" s="69"/>
      <c r="R456" s="100"/>
      <c r="S456" s="69"/>
      <c r="T456" s="69"/>
      <c r="U456" s="69"/>
      <c r="V456" s="69"/>
      <c r="W456" s="69"/>
      <c r="X456" s="365" t="s">
        <v>642</v>
      </c>
      <c r="Y456" s="348" t="s">
        <v>64</v>
      </c>
      <c r="Z456" s="349">
        <v>10</v>
      </c>
      <c r="AA456" s="349" t="s">
        <v>96</v>
      </c>
      <c r="AB456" s="408" t="s">
        <v>643</v>
      </c>
      <c r="AC456" s="409"/>
      <c r="AD456" s="410">
        <f t="shared" ref="AD456:AF457" si="144">AD457</f>
        <v>70</v>
      </c>
      <c r="AE456" s="410">
        <f t="shared" si="144"/>
        <v>70</v>
      </c>
      <c r="AF456" s="470">
        <f t="shared" si="144"/>
        <v>70</v>
      </c>
      <c r="AG456" s="478">
        <f t="shared" si="139"/>
        <v>1</v>
      </c>
      <c r="AH456" s="24"/>
      <c r="AI456" s="24"/>
      <c r="AJ456" s="115"/>
    </row>
    <row r="457" spans="1:36" ht="31.5" x14ac:dyDescent="0.25">
      <c r="B457" s="66"/>
      <c r="C457" s="67"/>
      <c r="D457" s="67"/>
      <c r="E457" s="14"/>
      <c r="F457" s="14"/>
      <c r="G457" s="68"/>
      <c r="H457" s="68"/>
      <c r="I457" s="68"/>
      <c r="J457" s="68"/>
      <c r="K457" s="68"/>
      <c r="L457" s="68"/>
      <c r="M457" s="68"/>
      <c r="N457" s="68"/>
      <c r="O457" s="74"/>
      <c r="P457" s="68"/>
      <c r="Q457" s="69"/>
      <c r="R457" s="100"/>
      <c r="S457" s="69"/>
      <c r="T457" s="69"/>
      <c r="U457" s="69"/>
      <c r="V457" s="69"/>
      <c r="W457" s="69"/>
      <c r="X457" s="358" t="s">
        <v>61</v>
      </c>
      <c r="Y457" s="348" t="s">
        <v>64</v>
      </c>
      <c r="Z457" s="349">
        <v>10</v>
      </c>
      <c r="AA457" s="349" t="s">
        <v>96</v>
      </c>
      <c r="AB457" s="408" t="s">
        <v>643</v>
      </c>
      <c r="AC457" s="409">
        <v>600</v>
      </c>
      <c r="AD457" s="410">
        <f t="shared" si="144"/>
        <v>70</v>
      </c>
      <c r="AE457" s="410">
        <f t="shared" si="144"/>
        <v>70</v>
      </c>
      <c r="AF457" s="470">
        <f t="shared" si="144"/>
        <v>70</v>
      </c>
      <c r="AG457" s="478">
        <f t="shared" si="139"/>
        <v>1</v>
      </c>
      <c r="AH457" s="24"/>
      <c r="AI457" s="24"/>
      <c r="AJ457" s="115"/>
    </row>
    <row r="458" spans="1:36" ht="36.6" customHeight="1" x14ac:dyDescent="0.25">
      <c r="B458" s="66"/>
      <c r="C458" s="67"/>
      <c r="D458" s="67"/>
      <c r="E458" s="14"/>
      <c r="F458" s="14"/>
      <c r="G458" s="68"/>
      <c r="H458" s="68"/>
      <c r="I458" s="68"/>
      <c r="J458" s="68"/>
      <c r="K458" s="68"/>
      <c r="L458" s="68"/>
      <c r="M458" s="68"/>
      <c r="N458" s="68"/>
      <c r="O458" s="74"/>
      <c r="P458" s="68"/>
      <c r="Q458" s="69"/>
      <c r="R458" s="100"/>
      <c r="S458" s="69"/>
      <c r="T458" s="69"/>
      <c r="U458" s="69"/>
      <c r="V458" s="69"/>
      <c r="W458" s="69"/>
      <c r="X458" s="411" t="s">
        <v>434</v>
      </c>
      <c r="Y458" s="348" t="s">
        <v>64</v>
      </c>
      <c r="Z458" s="349">
        <v>10</v>
      </c>
      <c r="AA458" s="349" t="s">
        <v>96</v>
      </c>
      <c r="AB458" s="408" t="s">
        <v>643</v>
      </c>
      <c r="AC458" s="409">
        <v>630</v>
      </c>
      <c r="AD458" s="410">
        <v>70</v>
      </c>
      <c r="AE458" s="410">
        <v>70</v>
      </c>
      <c r="AF458" s="470">
        <v>70</v>
      </c>
      <c r="AG458" s="478">
        <f t="shared" si="139"/>
        <v>1</v>
      </c>
      <c r="AH458" s="24"/>
      <c r="AI458" s="24"/>
      <c r="AJ458" s="115"/>
    </row>
    <row r="459" spans="1:36" ht="42" customHeight="1" x14ac:dyDescent="0.25">
      <c r="B459" s="66"/>
      <c r="C459" s="67"/>
      <c r="D459" s="67"/>
      <c r="E459" s="14"/>
      <c r="F459" s="14"/>
      <c r="G459" s="68"/>
      <c r="H459" s="68"/>
      <c r="I459" s="68"/>
      <c r="J459" s="68"/>
      <c r="K459" s="68"/>
      <c r="L459" s="68"/>
      <c r="M459" s="68"/>
      <c r="N459" s="68"/>
      <c r="O459" s="74"/>
      <c r="P459" s="68"/>
      <c r="Q459" s="69"/>
      <c r="R459" s="100"/>
      <c r="S459" s="69"/>
      <c r="T459" s="69"/>
      <c r="U459" s="69"/>
      <c r="V459" s="69"/>
      <c r="W459" s="69"/>
      <c r="X459" s="365" t="s">
        <v>614</v>
      </c>
      <c r="Y459" s="348" t="s">
        <v>64</v>
      </c>
      <c r="Z459" s="349">
        <v>10</v>
      </c>
      <c r="AA459" s="350" t="s">
        <v>96</v>
      </c>
      <c r="AB459" s="355" t="s">
        <v>615</v>
      </c>
      <c r="AC459" s="409"/>
      <c r="AD459" s="410">
        <f t="shared" ref="AD459:AF460" si="145">AD460</f>
        <v>70</v>
      </c>
      <c r="AE459" s="410">
        <f t="shared" si="145"/>
        <v>70</v>
      </c>
      <c r="AF459" s="470">
        <f t="shared" si="145"/>
        <v>70</v>
      </c>
      <c r="AG459" s="478">
        <f t="shared" si="139"/>
        <v>1</v>
      </c>
      <c r="AJ459" s="115"/>
    </row>
    <row r="460" spans="1:36" ht="31.5" x14ac:dyDescent="0.25">
      <c r="B460" s="66"/>
      <c r="C460" s="67"/>
      <c r="D460" s="67"/>
      <c r="E460" s="14"/>
      <c r="F460" s="14"/>
      <c r="G460" s="68"/>
      <c r="H460" s="68"/>
      <c r="I460" s="68"/>
      <c r="J460" s="68"/>
      <c r="K460" s="68"/>
      <c r="L460" s="68"/>
      <c r="M460" s="68"/>
      <c r="N460" s="68"/>
      <c r="O460" s="74"/>
      <c r="P460" s="68"/>
      <c r="Q460" s="69"/>
      <c r="R460" s="100"/>
      <c r="S460" s="69"/>
      <c r="T460" s="69"/>
      <c r="U460" s="69"/>
      <c r="V460" s="69"/>
      <c r="W460" s="69"/>
      <c r="X460" s="358" t="s">
        <v>61</v>
      </c>
      <c r="Y460" s="348" t="s">
        <v>64</v>
      </c>
      <c r="Z460" s="349">
        <v>10</v>
      </c>
      <c r="AA460" s="350" t="s">
        <v>96</v>
      </c>
      <c r="AB460" s="355" t="s">
        <v>615</v>
      </c>
      <c r="AC460" s="409">
        <v>600</v>
      </c>
      <c r="AD460" s="410">
        <f t="shared" si="145"/>
        <v>70</v>
      </c>
      <c r="AE460" s="410">
        <f t="shared" si="145"/>
        <v>70</v>
      </c>
      <c r="AF460" s="470">
        <f t="shared" si="145"/>
        <v>70</v>
      </c>
      <c r="AG460" s="478">
        <f t="shared" si="139"/>
        <v>1</v>
      </c>
      <c r="AJ460" s="115"/>
    </row>
    <row r="461" spans="1:36" ht="56.25" customHeight="1" x14ac:dyDescent="0.25">
      <c r="B461" s="66"/>
      <c r="C461" s="67"/>
      <c r="D461" s="67"/>
      <c r="E461" s="14"/>
      <c r="F461" s="14"/>
      <c r="G461" s="68"/>
      <c r="H461" s="68"/>
      <c r="I461" s="68"/>
      <c r="J461" s="68"/>
      <c r="K461" s="68"/>
      <c r="L461" s="68"/>
      <c r="M461" s="68"/>
      <c r="N461" s="68"/>
      <c r="O461" s="74"/>
      <c r="P461" s="68"/>
      <c r="Q461" s="69"/>
      <c r="R461" s="100"/>
      <c r="S461" s="69"/>
      <c r="T461" s="69"/>
      <c r="U461" s="69"/>
      <c r="V461" s="69"/>
      <c r="W461" s="69"/>
      <c r="X461" s="412" t="s">
        <v>434</v>
      </c>
      <c r="Y461" s="348" t="s">
        <v>64</v>
      </c>
      <c r="Z461" s="349">
        <v>10</v>
      </c>
      <c r="AA461" s="350" t="s">
        <v>96</v>
      </c>
      <c r="AB461" s="355" t="s">
        <v>615</v>
      </c>
      <c r="AC461" s="409">
        <v>630</v>
      </c>
      <c r="AD461" s="410">
        <v>70</v>
      </c>
      <c r="AE461" s="410">
        <v>70</v>
      </c>
      <c r="AF461" s="470">
        <v>70</v>
      </c>
      <c r="AG461" s="478">
        <f t="shared" si="139"/>
        <v>1</v>
      </c>
      <c r="AJ461" s="115"/>
    </row>
    <row r="462" spans="1:36" s="76" customFormat="1" x14ac:dyDescent="0.25">
      <c r="A462" s="56"/>
      <c r="B462" s="57"/>
      <c r="C462" s="57"/>
      <c r="D462" s="59"/>
      <c r="E462" s="60"/>
      <c r="F462" s="60"/>
      <c r="G462" s="61"/>
      <c r="H462" s="61"/>
      <c r="I462" s="61"/>
      <c r="J462" s="61"/>
      <c r="K462" s="61"/>
      <c r="L462" s="61"/>
      <c r="M462" s="61"/>
      <c r="N462" s="61"/>
      <c r="O462" s="62"/>
      <c r="P462" s="61"/>
      <c r="Q462" s="63"/>
      <c r="R462" s="64"/>
      <c r="S462" s="64"/>
      <c r="T462" s="64"/>
      <c r="U462" s="64"/>
      <c r="V462" s="64"/>
      <c r="W462" s="64"/>
      <c r="X462" s="340" t="s">
        <v>13</v>
      </c>
      <c r="Y462" s="341" t="s">
        <v>64</v>
      </c>
      <c r="Z462" s="413">
        <v>11</v>
      </c>
      <c r="AA462" s="343"/>
      <c r="AB462" s="344"/>
      <c r="AC462" s="345"/>
      <c r="AD462" s="346">
        <f>AD463+AD473</f>
        <v>119813.4</v>
      </c>
      <c r="AE462" s="346">
        <f>AE463+AE473</f>
        <v>119813.4</v>
      </c>
      <c r="AF462" s="467">
        <f>AF463+AF473</f>
        <v>119639.2</v>
      </c>
      <c r="AG462" s="477">
        <f t="shared" si="139"/>
        <v>0.99854607247603355</v>
      </c>
      <c r="AH462" s="160"/>
      <c r="AI462" s="160"/>
      <c r="AJ462" s="115"/>
    </row>
    <row r="463" spans="1:36" s="76" customFormat="1" x14ac:dyDescent="0.25">
      <c r="A463" s="56"/>
      <c r="B463" s="57"/>
      <c r="C463" s="57"/>
      <c r="D463" s="59"/>
      <c r="E463" s="60"/>
      <c r="F463" s="60"/>
      <c r="G463" s="61"/>
      <c r="H463" s="61"/>
      <c r="I463" s="61"/>
      <c r="J463" s="61"/>
      <c r="K463" s="61"/>
      <c r="L463" s="61"/>
      <c r="M463" s="61"/>
      <c r="N463" s="61"/>
      <c r="O463" s="62"/>
      <c r="P463" s="61"/>
      <c r="Q463" s="63"/>
      <c r="R463" s="64"/>
      <c r="S463" s="64"/>
      <c r="T463" s="64"/>
      <c r="U463" s="64"/>
      <c r="V463" s="64"/>
      <c r="W463" s="64"/>
      <c r="X463" s="347" t="s">
        <v>35</v>
      </c>
      <c r="Y463" s="371" t="s">
        <v>64</v>
      </c>
      <c r="Z463" s="349">
        <v>11</v>
      </c>
      <c r="AA463" s="350" t="s">
        <v>30</v>
      </c>
      <c r="AB463" s="355"/>
      <c r="AC463" s="380"/>
      <c r="AD463" s="353">
        <f t="shared" ref="AD463:AF464" si="146">AD464</f>
        <v>3751.7000000000003</v>
      </c>
      <c r="AE463" s="353">
        <f t="shared" si="146"/>
        <v>3751.7000000000003</v>
      </c>
      <c r="AF463" s="468">
        <f t="shared" si="146"/>
        <v>3577.5</v>
      </c>
      <c r="AG463" s="478">
        <f t="shared" si="139"/>
        <v>0.95356771596876078</v>
      </c>
      <c r="AH463" s="24"/>
      <c r="AI463" s="24"/>
      <c r="AJ463" s="115"/>
    </row>
    <row r="464" spans="1:36" s="76" customFormat="1" x14ac:dyDescent="0.25">
      <c r="A464" s="56"/>
      <c r="B464" s="57"/>
      <c r="C464" s="57"/>
      <c r="D464" s="59"/>
      <c r="E464" s="60"/>
      <c r="F464" s="60"/>
      <c r="G464" s="61"/>
      <c r="H464" s="61"/>
      <c r="I464" s="61"/>
      <c r="J464" s="61"/>
      <c r="K464" s="61"/>
      <c r="L464" s="61"/>
      <c r="M464" s="61"/>
      <c r="N464" s="61"/>
      <c r="O464" s="62"/>
      <c r="P464" s="61"/>
      <c r="Q464" s="63"/>
      <c r="R464" s="64"/>
      <c r="S464" s="64"/>
      <c r="T464" s="64"/>
      <c r="U464" s="64"/>
      <c r="V464" s="64"/>
      <c r="W464" s="64"/>
      <c r="X464" s="356" t="s">
        <v>158</v>
      </c>
      <c r="Y464" s="371" t="s">
        <v>64</v>
      </c>
      <c r="Z464" s="349">
        <v>11</v>
      </c>
      <c r="AA464" s="350" t="s">
        <v>30</v>
      </c>
      <c r="AB464" s="355" t="s">
        <v>116</v>
      </c>
      <c r="AC464" s="380"/>
      <c r="AD464" s="353">
        <f t="shared" si="146"/>
        <v>3751.7000000000003</v>
      </c>
      <c r="AE464" s="353">
        <f t="shared" si="146"/>
        <v>3751.7000000000003</v>
      </c>
      <c r="AF464" s="468">
        <f t="shared" si="146"/>
        <v>3577.5</v>
      </c>
      <c r="AG464" s="478">
        <f t="shared" si="139"/>
        <v>0.95356771596876078</v>
      </c>
      <c r="AH464" s="24"/>
      <c r="AI464" s="24"/>
      <c r="AJ464" s="115"/>
    </row>
    <row r="465" spans="1:36" s="76" customFormat="1" x14ac:dyDescent="0.25">
      <c r="A465" s="56"/>
      <c r="B465" s="57"/>
      <c r="C465" s="57"/>
      <c r="D465" s="59"/>
      <c r="E465" s="60"/>
      <c r="F465" s="60"/>
      <c r="G465" s="61"/>
      <c r="H465" s="61"/>
      <c r="I465" s="61"/>
      <c r="J465" s="61"/>
      <c r="K465" s="61"/>
      <c r="L465" s="61"/>
      <c r="M465" s="61"/>
      <c r="N465" s="61"/>
      <c r="O465" s="62"/>
      <c r="P465" s="61"/>
      <c r="Q465" s="63"/>
      <c r="R465" s="64"/>
      <c r="S465" s="64"/>
      <c r="T465" s="64"/>
      <c r="U465" s="64"/>
      <c r="V465" s="64"/>
      <c r="W465" s="64"/>
      <c r="X465" s="356" t="s">
        <v>159</v>
      </c>
      <c r="Y465" s="371" t="s">
        <v>64</v>
      </c>
      <c r="Z465" s="349">
        <v>11</v>
      </c>
      <c r="AA465" s="350" t="s">
        <v>30</v>
      </c>
      <c r="AB465" s="355" t="s">
        <v>120</v>
      </c>
      <c r="AC465" s="380"/>
      <c r="AD465" s="353">
        <f t="shared" ref="AD465:AF466" si="147">AD466</f>
        <v>3751.7000000000003</v>
      </c>
      <c r="AE465" s="353">
        <f t="shared" si="147"/>
        <v>3751.7000000000003</v>
      </c>
      <c r="AF465" s="468">
        <f t="shared" si="147"/>
        <v>3577.5</v>
      </c>
      <c r="AG465" s="478">
        <f t="shared" si="139"/>
        <v>0.95356771596876078</v>
      </c>
      <c r="AH465" s="24"/>
      <c r="AI465" s="24"/>
      <c r="AJ465" s="115"/>
    </row>
    <row r="466" spans="1:36" s="76" customFormat="1" ht="31.5" x14ac:dyDescent="0.25">
      <c r="A466" s="56"/>
      <c r="B466" s="57"/>
      <c r="C466" s="57"/>
      <c r="D466" s="59"/>
      <c r="E466" s="60"/>
      <c r="F466" s="60"/>
      <c r="G466" s="61"/>
      <c r="H466" s="61"/>
      <c r="I466" s="61"/>
      <c r="J466" s="61"/>
      <c r="K466" s="61"/>
      <c r="L466" s="61"/>
      <c r="M466" s="61"/>
      <c r="N466" s="61"/>
      <c r="O466" s="62"/>
      <c r="P466" s="61"/>
      <c r="Q466" s="63"/>
      <c r="R466" s="64"/>
      <c r="S466" s="64"/>
      <c r="T466" s="64"/>
      <c r="U466" s="64"/>
      <c r="V466" s="64"/>
      <c r="W466" s="64"/>
      <c r="X466" s="356" t="s">
        <v>160</v>
      </c>
      <c r="Y466" s="371" t="s">
        <v>64</v>
      </c>
      <c r="Z466" s="349">
        <v>11</v>
      </c>
      <c r="AA466" s="350" t="s">
        <v>30</v>
      </c>
      <c r="AB466" s="355" t="s">
        <v>129</v>
      </c>
      <c r="AC466" s="380"/>
      <c r="AD466" s="353">
        <f t="shared" si="147"/>
        <v>3751.7000000000003</v>
      </c>
      <c r="AE466" s="353">
        <f t="shared" si="147"/>
        <v>3751.7000000000003</v>
      </c>
      <c r="AF466" s="468">
        <f t="shared" si="147"/>
        <v>3577.5</v>
      </c>
      <c r="AG466" s="478">
        <f t="shared" si="139"/>
        <v>0.95356771596876078</v>
      </c>
      <c r="AH466" s="24"/>
      <c r="AI466" s="24"/>
      <c r="AJ466" s="115"/>
    </row>
    <row r="467" spans="1:36" s="76" customFormat="1" ht="31.5" x14ac:dyDescent="0.25">
      <c r="A467" s="56"/>
      <c r="B467" s="57"/>
      <c r="C467" s="57"/>
      <c r="D467" s="59"/>
      <c r="E467" s="60"/>
      <c r="F467" s="60"/>
      <c r="G467" s="61"/>
      <c r="H467" s="61"/>
      <c r="I467" s="61"/>
      <c r="J467" s="61"/>
      <c r="K467" s="61"/>
      <c r="L467" s="61"/>
      <c r="M467" s="61"/>
      <c r="N467" s="61"/>
      <c r="O467" s="62"/>
      <c r="P467" s="61"/>
      <c r="Q467" s="63"/>
      <c r="R467" s="64"/>
      <c r="S467" s="64"/>
      <c r="T467" s="64"/>
      <c r="U467" s="64"/>
      <c r="V467" s="64"/>
      <c r="W467" s="64"/>
      <c r="X467" s="365" t="s">
        <v>562</v>
      </c>
      <c r="Y467" s="348" t="s">
        <v>64</v>
      </c>
      <c r="Z467" s="349">
        <v>11</v>
      </c>
      <c r="AA467" s="350" t="s">
        <v>30</v>
      </c>
      <c r="AB467" s="355" t="s">
        <v>162</v>
      </c>
      <c r="AC467" s="345"/>
      <c r="AD467" s="353">
        <f>AD468+AD470</f>
        <v>3751.7000000000003</v>
      </c>
      <c r="AE467" s="353">
        <f>AE468+AE470</f>
        <v>3751.7000000000003</v>
      </c>
      <c r="AF467" s="468">
        <f>AF468+AF470</f>
        <v>3577.5</v>
      </c>
      <c r="AG467" s="478">
        <f t="shared" si="139"/>
        <v>0.95356771596876078</v>
      </c>
      <c r="AH467" s="24"/>
      <c r="AI467" s="24"/>
      <c r="AJ467" s="115"/>
    </row>
    <row r="468" spans="1:36" s="76" customFormat="1" x14ac:dyDescent="0.25">
      <c r="A468" s="56"/>
      <c r="B468" s="57"/>
      <c r="C468" s="57"/>
      <c r="D468" s="59"/>
      <c r="E468" s="60"/>
      <c r="F468" s="60"/>
      <c r="G468" s="61"/>
      <c r="H468" s="61"/>
      <c r="I468" s="61"/>
      <c r="J468" s="61"/>
      <c r="K468" s="61"/>
      <c r="L468" s="61"/>
      <c r="M468" s="61"/>
      <c r="N468" s="61"/>
      <c r="O468" s="62"/>
      <c r="P468" s="61"/>
      <c r="Q468" s="63"/>
      <c r="R468" s="64"/>
      <c r="S468" s="64"/>
      <c r="T468" s="64"/>
      <c r="U468" s="64"/>
      <c r="V468" s="64"/>
      <c r="W468" s="64"/>
      <c r="X468" s="347" t="s">
        <v>121</v>
      </c>
      <c r="Y468" s="348" t="s">
        <v>64</v>
      </c>
      <c r="Z468" s="349">
        <v>11</v>
      </c>
      <c r="AA468" s="350" t="s">
        <v>30</v>
      </c>
      <c r="AB468" s="355" t="s">
        <v>162</v>
      </c>
      <c r="AC468" s="357">
        <v>200</v>
      </c>
      <c r="AD468" s="353">
        <f>AD469</f>
        <v>2786.7000000000003</v>
      </c>
      <c r="AE468" s="353">
        <f>AE469</f>
        <v>2786.7000000000003</v>
      </c>
      <c r="AF468" s="468">
        <f>AF469</f>
        <v>2612.5</v>
      </c>
      <c r="AG468" s="478">
        <f t="shared" si="139"/>
        <v>0.93748878601930585</v>
      </c>
      <c r="AH468" s="24"/>
      <c r="AI468" s="24"/>
      <c r="AJ468" s="115"/>
    </row>
    <row r="469" spans="1:36" s="76" customFormat="1" ht="31.5" x14ac:dyDescent="0.25">
      <c r="A469" s="56"/>
      <c r="B469" s="57"/>
      <c r="C469" s="57"/>
      <c r="D469" s="59"/>
      <c r="E469" s="60"/>
      <c r="F469" s="60"/>
      <c r="G469" s="61"/>
      <c r="H469" s="61"/>
      <c r="I469" s="61"/>
      <c r="J469" s="61"/>
      <c r="K469" s="61"/>
      <c r="L469" s="61"/>
      <c r="M469" s="61"/>
      <c r="N469" s="61"/>
      <c r="O469" s="62"/>
      <c r="P469" s="61"/>
      <c r="Q469" s="63"/>
      <c r="R469" s="64"/>
      <c r="S469" s="64"/>
      <c r="T469" s="64"/>
      <c r="U469" s="64"/>
      <c r="V469" s="64"/>
      <c r="W469" s="64"/>
      <c r="X469" s="347" t="s">
        <v>52</v>
      </c>
      <c r="Y469" s="348" t="s">
        <v>64</v>
      </c>
      <c r="Z469" s="349">
        <v>11</v>
      </c>
      <c r="AA469" s="350" t="s">
        <v>30</v>
      </c>
      <c r="AB469" s="355" t="s">
        <v>162</v>
      </c>
      <c r="AC469" s="357">
        <v>240</v>
      </c>
      <c r="AD469" s="353">
        <f>2535-70-150+150+582.4-100-160.7</f>
        <v>2786.7000000000003</v>
      </c>
      <c r="AE469" s="353">
        <f>2535-70-150+150+582.4-100-160.7</f>
        <v>2786.7000000000003</v>
      </c>
      <c r="AF469" s="468">
        <v>2612.5</v>
      </c>
      <c r="AG469" s="478">
        <f t="shared" si="139"/>
        <v>0.93748878601930585</v>
      </c>
      <c r="AH469" s="24"/>
      <c r="AI469" s="24"/>
      <c r="AJ469" s="115"/>
    </row>
    <row r="470" spans="1:36" s="76" customFormat="1" ht="31.5" x14ac:dyDescent="0.25">
      <c r="A470" s="56"/>
      <c r="B470" s="57"/>
      <c r="C470" s="57"/>
      <c r="D470" s="59"/>
      <c r="E470" s="60"/>
      <c r="F470" s="60"/>
      <c r="G470" s="61"/>
      <c r="H470" s="61"/>
      <c r="I470" s="61"/>
      <c r="J470" s="61"/>
      <c r="K470" s="61"/>
      <c r="L470" s="61"/>
      <c r="M470" s="61"/>
      <c r="N470" s="61"/>
      <c r="O470" s="62"/>
      <c r="P470" s="61"/>
      <c r="Q470" s="63"/>
      <c r="R470" s="64"/>
      <c r="S470" s="64"/>
      <c r="T470" s="64"/>
      <c r="U470" s="64"/>
      <c r="V470" s="64"/>
      <c r="W470" s="64"/>
      <c r="X470" s="347" t="s">
        <v>61</v>
      </c>
      <c r="Y470" s="348" t="s">
        <v>64</v>
      </c>
      <c r="Z470" s="349">
        <v>11</v>
      </c>
      <c r="AA470" s="350" t="s">
        <v>30</v>
      </c>
      <c r="AB470" s="355" t="s">
        <v>162</v>
      </c>
      <c r="AC470" s="380">
        <v>600</v>
      </c>
      <c r="AD470" s="414">
        <f>AD471+AD472</f>
        <v>965</v>
      </c>
      <c r="AE470" s="414">
        <f>AE471+AE472</f>
        <v>965</v>
      </c>
      <c r="AF470" s="471">
        <f>AF471+AF472</f>
        <v>965</v>
      </c>
      <c r="AG470" s="478">
        <f t="shared" si="139"/>
        <v>1</v>
      </c>
      <c r="AH470" s="24"/>
      <c r="AI470" s="24"/>
      <c r="AJ470" s="115"/>
    </row>
    <row r="471" spans="1:36" s="76" customFormat="1" x14ac:dyDescent="0.25">
      <c r="A471" s="56"/>
      <c r="B471" s="57"/>
      <c r="C471" s="57"/>
      <c r="D471" s="59"/>
      <c r="E471" s="60"/>
      <c r="F471" s="60"/>
      <c r="G471" s="61"/>
      <c r="H471" s="61"/>
      <c r="I471" s="61"/>
      <c r="J471" s="61"/>
      <c r="K471" s="61"/>
      <c r="L471" s="61"/>
      <c r="M471" s="61"/>
      <c r="N471" s="61"/>
      <c r="O471" s="62"/>
      <c r="P471" s="61"/>
      <c r="Q471" s="63"/>
      <c r="R471" s="64"/>
      <c r="S471" s="64"/>
      <c r="T471" s="64"/>
      <c r="U471" s="64"/>
      <c r="V471" s="64"/>
      <c r="W471" s="64"/>
      <c r="X471" s="366" t="s">
        <v>62</v>
      </c>
      <c r="Y471" s="348" t="s">
        <v>64</v>
      </c>
      <c r="Z471" s="349">
        <v>11</v>
      </c>
      <c r="AA471" s="350" t="s">
        <v>30</v>
      </c>
      <c r="AB471" s="355" t="s">
        <v>162</v>
      </c>
      <c r="AC471" s="380">
        <v>610</v>
      </c>
      <c r="AD471" s="414">
        <f>350+100</f>
        <v>450</v>
      </c>
      <c r="AE471" s="414">
        <f>350+100</f>
        <v>450</v>
      </c>
      <c r="AF471" s="471">
        <v>450</v>
      </c>
      <c r="AG471" s="478">
        <f t="shared" si="139"/>
        <v>1</v>
      </c>
      <c r="AH471" s="24"/>
      <c r="AI471" s="24"/>
      <c r="AJ471" s="115"/>
    </row>
    <row r="472" spans="1:36" s="76" customFormat="1" x14ac:dyDescent="0.25">
      <c r="A472" s="56"/>
      <c r="B472" s="57"/>
      <c r="C472" s="57"/>
      <c r="D472" s="59"/>
      <c r="E472" s="60"/>
      <c r="F472" s="60"/>
      <c r="G472" s="61"/>
      <c r="H472" s="61"/>
      <c r="I472" s="61"/>
      <c r="J472" s="61"/>
      <c r="K472" s="61"/>
      <c r="L472" s="61"/>
      <c r="M472" s="61"/>
      <c r="N472" s="61"/>
      <c r="O472" s="62"/>
      <c r="P472" s="61"/>
      <c r="Q472" s="63"/>
      <c r="R472" s="64"/>
      <c r="S472" s="64"/>
      <c r="T472" s="64"/>
      <c r="U472" s="64"/>
      <c r="V472" s="64"/>
      <c r="W472" s="64"/>
      <c r="X472" s="366" t="s">
        <v>130</v>
      </c>
      <c r="Y472" s="348" t="s">
        <v>64</v>
      </c>
      <c r="Z472" s="349">
        <v>11</v>
      </c>
      <c r="AA472" s="350" t="s">
        <v>30</v>
      </c>
      <c r="AB472" s="355" t="s">
        <v>162</v>
      </c>
      <c r="AC472" s="380">
        <v>620</v>
      </c>
      <c r="AD472" s="414">
        <f>445+70+150-150</f>
        <v>515</v>
      </c>
      <c r="AE472" s="414">
        <f>445+70+150-150</f>
        <v>515</v>
      </c>
      <c r="AF472" s="471">
        <v>515</v>
      </c>
      <c r="AG472" s="478">
        <f t="shared" si="139"/>
        <v>1</v>
      </c>
      <c r="AH472" s="24"/>
      <c r="AI472" s="24"/>
      <c r="AJ472" s="115"/>
    </row>
    <row r="473" spans="1:36" s="76" customFormat="1" x14ac:dyDescent="0.25">
      <c r="A473" s="56"/>
      <c r="B473" s="57"/>
      <c r="C473" s="57"/>
      <c r="D473" s="59"/>
      <c r="E473" s="60"/>
      <c r="F473" s="60"/>
      <c r="G473" s="61"/>
      <c r="H473" s="61"/>
      <c r="I473" s="61"/>
      <c r="J473" s="61"/>
      <c r="K473" s="61"/>
      <c r="L473" s="61"/>
      <c r="M473" s="61"/>
      <c r="N473" s="61"/>
      <c r="O473" s="62"/>
      <c r="P473" s="61"/>
      <c r="Q473" s="63"/>
      <c r="R473" s="64"/>
      <c r="S473" s="64"/>
      <c r="T473" s="64"/>
      <c r="U473" s="64"/>
      <c r="V473" s="64"/>
      <c r="W473" s="64"/>
      <c r="X473" s="366" t="s">
        <v>647</v>
      </c>
      <c r="Y473" s="348" t="s">
        <v>64</v>
      </c>
      <c r="Z473" s="349">
        <v>11</v>
      </c>
      <c r="AA473" s="350" t="s">
        <v>7</v>
      </c>
      <c r="AB473" s="355"/>
      <c r="AC473" s="380"/>
      <c r="AD473" s="414">
        <f t="shared" ref="AD473:AE478" si="148">AD474</f>
        <v>116061.7</v>
      </c>
      <c r="AE473" s="414">
        <f t="shared" si="148"/>
        <v>116061.7</v>
      </c>
      <c r="AF473" s="471">
        <f t="shared" ref="AF473:AF478" si="149">AF474</f>
        <v>116061.7</v>
      </c>
      <c r="AG473" s="478">
        <f t="shared" si="139"/>
        <v>1</v>
      </c>
      <c r="AH473" s="24"/>
      <c r="AI473" s="24"/>
      <c r="AJ473" s="115"/>
    </row>
    <row r="474" spans="1:36" s="76" customFormat="1" x14ac:dyDescent="0.25">
      <c r="A474" s="56"/>
      <c r="B474" s="57"/>
      <c r="C474" s="57"/>
      <c r="D474" s="59"/>
      <c r="E474" s="60"/>
      <c r="F474" s="60"/>
      <c r="G474" s="61"/>
      <c r="H474" s="61"/>
      <c r="I474" s="61"/>
      <c r="J474" s="61"/>
      <c r="K474" s="61"/>
      <c r="L474" s="61"/>
      <c r="M474" s="61"/>
      <c r="N474" s="61"/>
      <c r="O474" s="62"/>
      <c r="P474" s="61"/>
      <c r="Q474" s="63"/>
      <c r="R474" s="64"/>
      <c r="S474" s="64"/>
      <c r="T474" s="64"/>
      <c r="U474" s="64"/>
      <c r="V474" s="64"/>
      <c r="W474" s="64"/>
      <c r="X474" s="356" t="s">
        <v>158</v>
      </c>
      <c r="Y474" s="371" t="s">
        <v>64</v>
      </c>
      <c r="Z474" s="349">
        <v>11</v>
      </c>
      <c r="AA474" s="350" t="s">
        <v>7</v>
      </c>
      <c r="AB474" s="355" t="s">
        <v>116</v>
      </c>
      <c r="AC474" s="380"/>
      <c r="AD474" s="414">
        <f t="shared" si="148"/>
        <v>116061.7</v>
      </c>
      <c r="AE474" s="414">
        <f t="shared" si="148"/>
        <v>116061.7</v>
      </c>
      <c r="AF474" s="471">
        <f t="shared" si="149"/>
        <v>116061.7</v>
      </c>
      <c r="AG474" s="478">
        <f t="shared" si="139"/>
        <v>1</v>
      </c>
      <c r="AH474" s="24"/>
      <c r="AI474" s="24"/>
      <c r="AJ474" s="115"/>
    </row>
    <row r="475" spans="1:36" s="76" customFormat="1" x14ac:dyDescent="0.25">
      <c r="A475" s="56"/>
      <c r="B475" s="57"/>
      <c r="C475" s="57"/>
      <c r="D475" s="59"/>
      <c r="E475" s="60"/>
      <c r="F475" s="60"/>
      <c r="G475" s="61"/>
      <c r="H475" s="61"/>
      <c r="I475" s="61"/>
      <c r="J475" s="61"/>
      <c r="K475" s="61"/>
      <c r="L475" s="61"/>
      <c r="M475" s="61"/>
      <c r="N475" s="61"/>
      <c r="O475" s="62"/>
      <c r="P475" s="61"/>
      <c r="Q475" s="63"/>
      <c r="R475" s="64"/>
      <c r="S475" s="64"/>
      <c r="T475" s="64"/>
      <c r="U475" s="64"/>
      <c r="V475" s="64"/>
      <c r="W475" s="64"/>
      <c r="X475" s="366" t="s">
        <v>648</v>
      </c>
      <c r="Y475" s="371" t="s">
        <v>64</v>
      </c>
      <c r="Z475" s="349">
        <v>11</v>
      </c>
      <c r="AA475" s="350" t="s">
        <v>7</v>
      </c>
      <c r="AB475" s="355" t="s">
        <v>649</v>
      </c>
      <c r="AC475" s="380"/>
      <c r="AD475" s="414">
        <f>AD476+AD480</f>
        <v>116061.7</v>
      </c>
      <c r="AE475" s="414">
        <f>AE476+AE480</f>
        <v>116061.7</v>
      </c>
      <c r="AF475" s="471">
        <f t="shared" ref="AF475" si="150">AF476+AF480</f>
        <v>116061.7</v>
      </c>
      <c r="AG475" s="478">
        <f t="shared" si="139"/>
        <v>1</v>
      </c>
      <c r="AH475" s="24"/>
      <c r="AI475" s="24"/>
      <c r="AJ475" s="115"/>
    </row>
    <row r="476" spans="1:36" s="76" customFormat="1" x14ac:dyDescent="0.25">
      <c r="A476" s="56"/>
      <c r="B476" s="57"/>
      <c r="C476" s="57"/>
      <c r="D476" s="59"/>
      <c r="E476" s="60"/>
      <c r="F476" s="60"/>
      <c r="G476" s="61"/>
      <c r="H476" s="61"/>
      <c r="I476" s="61"/>
      <c r="J476" s="61"/>
      <c r="K476" s="61"/>
      <c r="L476" s="61"/>
      <c r="M476" s="61"/>
      <c r="N476" s="61"/>
      <c r="O476" s="62"/>
      <c r="P476" s="61"/>
      <c r="Q476" s="63"/>
      <c r="R476" s="64"/>
      <c r="S476" s="64"/>
      <c r="T476" s="64"/>
      <c r="U476" s="64"/>
      <c r="V476" s="64"/>
      <c r="W476" s="64"/>
      <c r="X476" s="366" t="s">
        <v>651</v>
      </c>
      <c r="Y476" s="371" t="s">
        <v>64</v>
      </c>
      <c r="Z476" s="349">
        <v>11</v>
      </c>
      <c r="AA476" s="350" t="s">
        <v>7</v>
      </c>
      <c r="AB476" s="355" t="s">
        <v>650</v>
      </c>
      <c r="AC476" s="380"/>
      <c r="AD476" s="414">
        <f t="shared" si="148"/>
        <v>114203.7</v>
      </c>
      <c r="AE476" s="414">
        <f t="shared" si="148"/>
        <v>114203.7</v>
      </c>
      <c r="AF476" s="471">
        <f t="shared" si="149"/>
        <v>114203.7</v>
      </c>
      <c r="AG476" s="478">
        <f t="shared" si="139"/>
        <v>1</v>
      </c>
      <c r="AH476" s="24"/>
      <c r="AI476" s="24"/>
      <c r="AJ476" s="115"/>
    </row>
    <row r="477" spans="1:36" s="76" customFormat="1" ht="31.5" x14ac:dyDescent="0.25">
      <c r="A477" s="56"/>
      <c r="B477" s="57"/>
      <c r="C477" s="57"/>
      <c r="D477" s="59"/>
      <c r="E477" s="60"/>
      <c r="F477" s="60"/>
      <c r="G477" s="61"/>
      <c r="H477" s="61"/>
      <c r="I477" s="61"/>
      <c r="J477" s="61"/>
      <c r="K477" s="61"/>
      <c r="L477" s="61"/>
      <c r="M477" s="61"/>
      <c r="N477" s="61"/>
      <c r="O477" s="62"/>
      <c r="P477" s="61"/>
      <c r="Q477" s="63"/>
      <c r="R477" s="64"/>
      <c r="S477" s="64"/>
      <c r="T477" s="64"/>
      <c r="U477" s="64"/>
      <c r="V477" s="64"/>
      <c r="W477" s="64"/>
      <c r="X477" s="366" t="s">
        <v>653</v>
      </c>
      <c r="Y477" s="371" t="s">
        <v>64</v>
      </c>
      <c r="Z477" s="349">
        <v>11</v>
      </c>
      <c r="AA477" s="350" t="s">
        <v>7</v>
      </c>
      <c r="AB477" s="355" t="s">
        <v>652</v>
      </c>
      <c r="AC477" s="380"/>
      <c r="AD477" s="414">
        <f t="shared" si="148"/>
        <v>114203.7</v>
      </c>
      <c r="AE477" s="414">
        <f t="shared" si="148"/>
        <v>114203.7</v>
      </c>
      <c r="AF477" s="471">
        <f t="shared" si="149"/>
        <v>114203.7</v>
      </c>
      <c r="AG477" s="478">
        <f t="shared" si="139"/>
        <v>1</v>
      </c>
      <c r="AH477" s="24"/>
      <c r="AI477" s="24"/>
      <c r="AJ477" s="115"/>
    </row>
    <row r="478" spans="1:36" s="76" customFormat="1" ht="31.5" x14ac:dyDescent="0.25">
      <c r="A478" s="56"/>
      <c r="B478" s="57"/>
      <c r="C478" s="57"/>
      <c r="D478" s="59"/>
      <c r="E478" s="60"/>
      <c r="F478" s="60"/>
      <c r="G478" s="61"/>
      <c r="H478" s="61"/>
      <c r="I478" s="61"/>
      <c r="J478" s="61"/>
      <c r="K478" s="61"/>
      <c r="L478" s="61"/>
      <c r="M478" s="61"/>
      <c r="N478" s="61"/>
      <c r="O478" s="62"/>
      <c r="P478" s="61"/>
      <c r="Q478" s="63"/>
      <c r="R478" s="64"/>
      <c r="S478" s="64"/>
      <c r="T478" s="64"/>
      <c r="U478" s="64"/>
      <c r="V478" s="64"/>
      <c r="W478" s="64"/>
      <c r="X478" s="347" t="s">
        <v>61</v>
      </c>
      <c r="Y478" s="371" t="s">
        <v>64</v>
      </c>
      <c r="Z478" s="349">
        <v>11</v>
      </c>
      <c r="AA478" s="350" t="s">
        <v>7</v>
      </c>
      <c r="AB478" s="355" t="s">
        <v>652</v>
      </c>
      <c r="AC478" s="380">
        <v>600</v>
      </c>
      <c r="AD478" s="414">
        <f t="shared" si="148"/>
        <v>114203.7</v>
      </c>
      <c r="AE478" s="414">
        <f t="shared" si="148"/>
        <v>114203.7</v>
      </c>
      <c r="AF478" s="471">
        <f t="shared" si="149"/>
        <v>114203.7</v>
      </c>
      <c r="AG478" s="478">
        <f t="shared" si="139"/>
        <v>1</v>
      </c>
      <c r="AH478" s="24"/>
      <c r="AI478" s="24"/>
      <c r="AJ478" s="115"/>
    </row>
    <row r="479" spans="1:36" s="76" customFormat="1" x14ac:dyDescent="0.25">
      <c r="A479" s="56"/>
      <c r="B479" s="57"/>
      <c r="C479" s="57"/>
      <c r="D479" s="59"/>
      <c r="E479" s="60"/>
      <c r="F479" s="60"/>
      <c r="G479" s="61"/>
      <c r="H479" s="61"/>
      <c r="I479" s="61"/>
      <c r="J479" s="61"/>
      <c r="K479" s="61"/>
      <c r="L479" s="61"/>
      <c r="M479" s="61"/>
      <c r="N479" s="61"/>
      <c r="O479" s="62"/>
      <c r="P479" s="61"/>
      <c r="Q479" s="63"/>
      <c r="R479" s="64"/>
      <c r="S479" s="64"/>
      <c r="T479" s="64"/>
      <c r="U479" s="64"/>
      <c r="V479" s="64"/>
      <c r="W479" s="64"/>
      <c r="X479" s="366" t="s">
        <v>130</v>
      </c>
      <c r="Y479" s="371" t="s">
        <v>64</v>
      </c>
      <c r="Z479" s="349">
        <v>11</v>
      </c>
      <c r="AA479" s="350" t="s">
        <v>7</v>
      </c>
      <c r="AB479" s="355" t="s">
        <v>652</v>
      </c>
      <c r="AC479" s="380">
        <v>620</v>
      </c>
      <c r="AD479" s="414">
        <f>103363+451.7+10389</f>
        <v>114203.7</v>
      </c>
      <c r="AE479" s="414">
        <f>103363+451.7+10389</f>
        <v>114203.7</v>
      </c>
      <c r="AF479" s="471">
        <v>114203.7</v>
      </c>
      <c r="AG479" s="478">
        <f t="shared" si="139"/>
        <v>1</v>
      </c>
      <c r="AH479" s="24"/>
      <c r="AI479" s="24"/>
      <c r="AJ479" s="115"/>
    </row>
    <row r="480" spans="1:36" s="76" customFormat="1" ht="31.5" x14ac:dyDescent="0.25">
      <c r="A480" s="56"/>
      <c r="B480" s="57"/>
      <c r="C480" s="57"/>
      <c r="D480" s="59"/>
      <c r="E480" s="60"/>
      <c r="F480" s="60"/>
      <c r="G480" s="61"/>
      <c r="H480" s="61"/>
      <c r="I480" s="61"/>
      <c r="J480" s="61"/>
      <c r="K480" s="61"/>
      <c r="L480" s="61"/>
      <c r="M480" s="61"/>
      <c r="N480" s="61"/>
      <c r="O480" s="62"/>
      <c r="P480" s="61"/>
      <c r="Q480" s="63"/>
      <c r="R480" s="64"/>
      <c r="S480" s="64"/>
      <c r="T480" s="64"/>
      <c r="U480" s="64"/>
      <c r="V480" s="64"/>
      <c r="W480" s="64"/>
      <c r="X480" s="366" t="s">
        <v>811</v>
      </c>
      <c r="Y480" s="371" t="s">
        <v>64</v>
      </c>
      <c r="Z480" s="349">
        <v>11</v>
      </c>
      <c r="AA480" s="350" t="s">
        <v>7</v>
      </c>
      <c r="AB480" s="355" t="s">
        <v>812</v>
      </c>
      <c r="AC480" s="380"/>
      <c r="AD480" s="414">
        <f t="shared" ref="AD480:AE482" si="151">AD481</f>
        <v>1858</v>
      </c>
      <c r="AE480" s="414">
        <f t="shared" si="151"/>
        <v>1858</v>
      </c>
      <c r="AF480" s="471">
        <f t="shared" ref="AF480:AF482" si="152">AF481</f>
        <v>1858</v>
      </c>
      <c r="AG480" s="478">
        <f t="shared" si="139"/>
        <v>1</v>
      </c>
      <c r="AH480" s="24"/>
      <c r="AI480" s="24"/>
      <c r="AJ480" s="115"/>
    </row>
    <row r="481" spans="1:36" s="76" customFormat="1" ht="31.5" x14ac:dyDescent="0.25">
      <c r="A481" s="56"/>
      <c r="B481" s="57"/>
      <c r="C481" s="57"/>
      <c r="D481" s="59"/>
      <c r="E481" s="60"/>
      <c r="F481" s="60"/>
      <c r="G481" s="61"/>
      <c r="H481" s="61"/>
      <c r="I481" s="61"/>
      <c r="J481" s="61"/>
      <c r="K481" s="61"/>
      <c r="L481" s="61"/>
      <c r="M481" s="61"/>
      <c r="N481" s="61"/>
      <c r="O481" s="62"/>
      <c r="P481" s="61"/>
      <c r="Q481" s="63"/>
      <c r="R481" s="64"/>
      <c r="S481" s="64"/>
      <c r="T481" s="64"/>
      <c r="U481" s="64"/>
      <c r="V481" s="64"/>
      <c r="W481" s="64"/>
      <c r="X481" s="366" t="s">
        <v>796</v>
      </c>
      <c r="Y481" s="371" t="s">
        <v>64</v>
      </c>
      <c r="Z481" s="349">
        <v>11</v>
      </c>
      <c r="AA481" s="350" t="s">
        <v>7</v>
      </c>
      <c r="AB481" s="355" t="s">
        <v>813</v>
      </c>
      <c r="AC481" s="380"/>
      <c r="AD481" s="414">
        <f t="shared" si="151"/>
        <v>1858</v>
      </c>
      <c r="AE481" s="414">
        <f t="shared" si="151"/>
        <v>1858</v>
      </c>
      <c r="AF481" s="471">
        <f t="shared" si="152"/>
        <v>1858</v>
      </c>
      <c r="AG481" s="478">
        <f t="shared" si="139"/>
        <v>1</v>
      </c>
      <c r="AH481" s="24"/>
      <c r="AI481" s="24"/>
      <c r="AJ481" s="115"/>
    </row>
    <row r="482" spans="1:36" s="76" customFormat="1" ht="31.5" x14ac:dyDescent="0.25">
      <c r="A482" s="56"/>
      <c r="B482" s="57"/>
      <c r="C482" s="57"/>
      <c r="D482" s="59"/>
      <c r="E482" s="60"/>
      <c r="F482" s="60"/>
      <c r="G482" s="61"/>
      <c r="H482" s="61"/>
      <c r="I482" s="61"/>
      <c r="J482" s="61"/>
      <c r="K482" s="61"/>
      <c r="L482" s="61"/>
      <c r="M482" s="61"/>
      <c r="N482" s="61"/>
      <c r="O482" s="62"/>
      <c r="P482" s="61"/>
      <c r="Q482" s="63"/>
      <c r="R482" s="64"/>
      <c r="S482" s="64"/>
      <c r="T482" s="64"/>
      <c r="U482" s="64"/>
      <c r="V482" s="64"/>
      <c r="W482" s="64"/>
      <c r="X482" s="347" t="s">
        <v>61</v>
      </c>
      <c r="Y482" s="371" t="s">
        <v>64</v>
      </c>
      <c r="Z482" s="349">
        <v>11</v>
      </c>
      <c r="AA482" s="350" t="s">
        <v>7</v>
      </c>
      <c r="AB482" s="355" t="s">
        <v>813</v>
      </c>
      <c r="AC482" s="380">
        <v>600</v>
      </c>
      <c r="AD482" s="414">
        <f t="shared" si="151"/>
        <v>1858</v>
      </c>
      <c r="AE482" s="414">
        <f t="shared" si="151"/>
        <v>1858</v>
      </c>
      <c r="AF482" s="471">
        <f t="shared" si="152"/>
        <v>1858</v>
      </c>
      <c r="AG482" s="478">
        <f t="shared" si="139"/>
        <v>1</v>
      </c>
      <c r="AH482" s="24"/>
      <c r="AI482" s="24"/>
      <c r="AJ482" s="115"/>
    </row>
    <row r="483" spans="1:36" s="76" customFormat="1" x14ac:dyDescent="0.25">
      <c r="A483" s="56"/>
      <c r="B483" s="57"/>
      <c r="C483" s="57"/>
      <c r="D483" s="59"/>
      <c r="E483" s="60"/>
      <c r="F483" s="60"/>
      <c r="G483" s="61"/>
      <c r="H483" s="61"/>
      <c r="I483" s="61"/>
      <c r="J483" s="61"/>
      <c r="K483" s="61"/>
      <c r="L483" s="61"/>
      <c r="M483" s="61"/>
      <c r="N483" s="61"/>
      <c r="O483" s="62"/>
      <c r="P483" s="61"/>
      <c r="Q483" s="63"/>
      <c r="R483" s="64"/>
      <c r="S483" s="64"/>
      <c r="T483" s="64"/>
      <c r="U483" s="64"/>
      <c r="V483" s="64"/>
      <c r="W483" s="64"/>
      <c r="X483" s="366" t="s">
        <v>130</v>
      </c>
      <c r="Y483" s="371" t="s">
        <v>64</v>
      </c>
      <c r="Z483" s="349">
        <v>11</v>
      </c>
      <c r="AA483" s="350" t="s">
        <v>7</v>
      </c>
      <c r="AB483" s="355" t="s">
        <v>813</v>
      </c>
      <c r="AC483" s="380">
        <v>620</v>
      </c>
      <c r="AD483" s="414">
        <v>1858</v>
      </c>
      <c r="AE483" s="414">
        <v>1858</v>
      </c>
      <c r="AF483" s="471">
        <v>1858</v>
      </c>
      <c r="AG483" s="478">
        <f t="shared" si="139"/>
        <v>1</v>
      </c>
      <c r="AH483" s="24"/>
      <c r="AI483" s="24"/>
      <c r="AJ483" s="115"/>
    </row>
    <row r="484" spans="1:36" s="76" customFormat="1" x14ac:dyDescent="0.25">
      <c r="A484" s="56"/>
      <c r="B484" s="57"/>
      <c r="C484" s="57"/>
      <c r="D484" s="59"/>
      <c r="E484" s="60"/>
      <c r="F484" s="60"/>
      <c r="G484" s="61"/>
      <c r="H484" s="61"/>
      <c r="I484" s="61"/>
      <c r="J484" s="61"/>
      <c r="K484" s="61"/>
      <c r="L484" s="61"/>
      <c r="M484" s="61"/>
      <c r="N484" s="61"/>
      <c r="O484" s="62"/>
      <c r="P484" s="61"/>
      <c r="Q484" s="63"/>
      <c r="R484" s="64"/>
      <c r="S484" s="64"/>
      <c r="T484" s="64"/>
      <c r="U484" s="64"/>
      <c r="V484" s="64"/>
      <c r="W484" s="64"/>
      <c r="X484" s="340" t="s">
        <v>468</v>
      </c>
      <c r="Y484" s="341" t="s">
        <v>64</v>
      </c>
      <c r="Z484" s="413">
        <v>13</v>
      </c>
      <c r="AA484" s="343"/>
      <c r="AB484" s="344"/>
      <c r="AC484" s="345"/>
      <c r="AD484" s="346">
        <f>AD485</f>
        <v>319.90000000000003</v>
      </c>
      <c r="AE484" s="346">
        <f>AE485</f>
        <v>319.90000000000003</v>
      </c>
      <c r="AF484" s="467">
        <f>AF485</f>
        <v>319.89999999999998</v>
      </c>
      <c r="AG484" s="477">
        <f t="shared" si="139"/>
        <v>0.99999999999999978</v>
      </c>
      <c r="AH484" s="160"/>
      <c r="AI484" s="160"/>
      <c r="AJ484" s="115"/>
    </row>
    <row r="485" spans="1:36" x14ac:dyDescent="0.25">
      <c r="B485" s="66"/>
      <c r="C485" s="66"/>
      <c r="D485" s="67"/>
      <c r="E485" s="67"/>
      <c r="F485" s="67"/>
      <c r="G485" s="101"/>
      <c r="H485" s="101"/>
      <c r="I485" s="101"/>
      <c r="J485" s="101"/>
      <c r="K485" s="101"/>
      <c r="L485" s="61"/>
      <c r="M485" s="101"/>
      <c r="N485" s="61"/>
      <c r="P485" s="101"/>
      <c r="Q485" s="69"/>
      <c r="R485" s="13"/>
      <c r="S485" s="13"/>
      <c r="T485" s="13"/>
      <c r="U485" s="13"/>
      <c r="V485" s="13"/>
      <c r="W485" s="13"/>
      <c r="X485" s="347" t="s">
        <v>469</v>
      </c>
      <c r="Y485" s="348" t="s">
        <v>64</v>
      </c>
      <c r="Z485" s="387">
        <v>13</v>
      </c>
      <c r="AA485" s="350" t="s">
        <v>29</v>
      </c>
      <c r="AB485" s="367"/>
      <c r="AC485" s="357"/>
      <c r="AD485" s="353">
        <f>AD489</f>
        <v>319.90000000000003</v>
      </c>
      <c r="AE485" s="353">
        <f>AE489</f>
        <v>319.90000000000003</v>
      </c>
      <c r="AF485" s="468">
        <f>AF489</f>
        <v>319.89999999999998</v>
      </c>
      <c r="AG485" s="478">
        <f t="shared" si="139"/>
        <v>0.99999999999999978</v>
      </c>
      <c r="AH485" s="24"/>
      <c r="AI485" s="24"/>
      <c r="AJ485" s="115"/>
    </row>
    <row r="486" spans="1:36" x14ac:dyDescent="0.25">
      <c r="B486" s="66"/>
      <c r="C486" s="66"/>
      <c r="D486" s="67"/>
      <c r="E486" s="67"/>
      <c r="F486" s="67"/>
      <c r="G486" s="101"/>
      <c r="H486" s="101"/>
      <c r="I486" s="101"/>
      <c r="J486" s="101"/>
      <c r="K486" s="101"/>
      <c r="L486" s="61"/>
      <c r="M486" s="101"/>
      <c r="N486" s="61"/>
      <c r="P486" s="101"/>
      <c r="Q486" s="69"/>
      <c r="R486" s="13"/>
      <c r="S486" s="13"/>
      <c r="T486" s="13"/>
      <c r="U486" s="13"/>
      <c r="V486" s="13"/>
      <c r="W486" s="13"/>
      <c r="X486" s="354" t="s">
        <v>187</v>
      </c>
      <c r="Y486" s="348" t="s">
        <v>64</v>
      </c>
      <c r="Z486" s="387">
        <v>13</v>
      </c>
      <c r="AA486" s="350" t="s">
        <v>29</v>
      </c>
      <c r="AB486" s="355" t="s">
        <v>113</v>
      </c>
      <c r="AC486" s="357"/>
      <c r="AD486" s="353">
        <f>AD489</f>
        <v>319.90000000000003</v>
      </c>
      <c r="AE486" s="353">
        <f>AE489</f>
        <v>319.90000000000003</v>
      </c>
      <c r="AF486" s="468">
        <f>AF489</f>
        <v>319.89999999999998</v>
      </c>
      <c r="AG486" s="478">
        <f t="shared" si="139"/>
        <v>0.99999999999999978</v>
      </c>
      <c r="AH486" s="24"/>
      <c r="AI486" s="24"/>
      <c r="AJ486" s="115"/>
    </row>
    <row r="487" spans="1:36" x14ac:dyDescent="0.25">
      <c r="B487" s="66"/>
      <c r="C487" s="66"/>
      <c r="D487" s="67"/>
      <c r="E487" s="67"/>
      <c r="F487" s="67"/>
      <c r="G487" s="101"/>
      <c r="H487" s="101"/>
      <c r="I487" s="101"/>
      <c r="J487" s="101"/>
      <c r="K487" s="101"/>
      <c r="L487" s="61"/>
      <c r="M487" s="101"/>
      <c r="N487" s="61"/>
      <c r="P487" s="101"/>
      <c r="Q487" s="69"/>
      <c r="R487" s="13"/>
      <c r="S487" s="13"/>
      <c r="T487" s="13"/>
      <c r="U487" s="13"/>
      <c r="V487" s="13"/>
      <c r="W487" s="13"/>
      <c r="X487" s="354" t="s">
        <v>569</v>
      </c>
      <c r="Y487" s="348" t="s">
        <v>64</v>
      </c>
      <c r="Z487" s="387">
        <v>13</v>
      </c>
      <c r="AA487" s="350" t="s">
        <v>29</v>
      </c>
      <c r="AB487" s="355" t="s">
        <v>431</v>
      </c>
      <c r="AC487" s="357"/>
      <c r="AD487" s="353">
        <f t="shared" ref="AD487:AF488" si="153">AD488</f>
        <v>319.90000000000003</v>
      </c>
      <c r="AE487" s="353">
        <f t="shared" si="153"/>
        <v>319.90000000000003</v>
      </c>
      <c r="AF487" s="468">
        <f t="shared" si="153"/>
        <v>319.89999999999998</v>
      </c>
      <c r="AG487" s="478">
        <f t="shared" si="139"/>
        <v>0.99999999999999978</v>
      </c>
      <c r="AH487" s="24"/>
      <c r="AI487" s="24"/>
      <c r="AJ487" s="115"/>
    </row>
    <row r="488" spans="1:36" ht="31.5" x14ac:dyDescent="0.25">
      <c r="B488" s="66"/>
      <c r="C488" s="66"/>
      <c r="D488" s="67"/>
      <c r="E488" s="67"/>
      <c r="F488" s="67"/>
      <c r="G488" s="101"/>
      <c r="H488" s="101"/>
      <c r="I488" s="101"/>
      <c r="J488" s="101"/>
      <c r="K488" s="101"/>
      <c r="L488" s="61"/>
      <c r="M488" s="101"/>
      <c r="N488" s="61"/>
      <c r="P488" s="101"/>
      <c r="Q488" s="69"/>
      <c r="R488" s="13"/>
      <c r="S488" s="13"/>
      <c r="T488" s="13"/>
      <c r="U488" s="13"/>
      <c r="V488" s="13"/>
      <c r="W488" s="13"/>
      <c r="X488" s="368" t="s">
        <v>570</v>
      </c>
      <c r="Y488" s="348" t="s">
        <v>64</v>
      </c>
      <c r="Z488" s="387">
        <v>13</v>
      </c>
      <c r="AA488" s="350" t="s">
        <v>29</v>
      </c>
      <c r="AB488" s="355" t="s">
        <v>433</v>
      </c>
      <c r="AC488" s="357"/>
      <c r="AD488" s="353">
        <f t="shared" si="153"/>
        <v>319.90000000000003</v>
      </c>
      <c r="AE488" s="353">
        <f t="shared" si="153"/>
        <v>319.90000000000003</v>
      </c>
      <c r="AF488" s="468">
        <f t="shared" si="153"/>
        <v>319.89999999999998</v>
      </c>
      <c r="AG488" s="478">
        <f t="shared" si="139"/>
        <v>0.99999999999999978</v>
      </c>
      <c r="AH488" s="24"/>
      <c r="AI488" s="24"/>
      <c r="AJ488" s="115"/>
    </row>
    <row r="489" spans="1:36" x14ac:dyDescent="0.25">
      <c r="A489" s="71"/>
      <c r="B489" s="66"/>
      <c r="C489" s="66"/>
      <c r="D489" s="67"/>
      <c r="E489" s="67"/>
      <c r="F489" s="67"/>
      <c r="G489" s="101"/>
      <c r="H489" s="101"/>
      <c r="I489" s="101"/>
      <c r="J489" s="101"/>
      <c r="K489" s="101"/>
      <c r="L489" s="61"/>
      <c r="M489" s="101"/>
      <c r="N489" s="61"/>
      <c r="P489" s="101"/>
      <c r="Q489" s="69"/>
      <c r="R489" s="13"/>
      <c r="S489" s="13"/>
      <c r="T489" s="13"/>
      <c r="U489" s="13"/>
      <c r="V489" s="13"/>
      <c r="W489" s="13"/>
      <c r="X489" s="354" t="s">
        <v>190</v>
      </c>
      <c r="Y489" s="348" t="s">
        <v>64</v>
      </c>
      <c r="Z489" s="387">
        <v>13</v>
      </c>
      <c r="AA489" s="350" t="s">
        <v>29</v>
      </c>
      <c r="AB489" s="355" t="s">
        <v>571</v>
      </c>
      <c r="AC489" s="357"/>
      <c r="AD489" s="353">
        <f t="shared" ref="AD489:AF490" si="154">AD490</f>
        <v>319.90000000000003</v>
      </c>
      <c r="AE489" s="353">
        <f t="shared" si="154"/>
        <v>319.90000000000003</v>
      </c>
      <c r="AF489" s="468">
        <f t="shared" si="154"/>
        <v>319.89999999999998</v>
      </c>
      <c r="AG489" s="478">
        <f t="shared" si="139"/>
        <v>0.99999999999999978</v>
      </c>
      <c r="AH489" s="24"/>
      <c r="AI489" s="24"/>
      <c r="AJ489" s="115"/>
    </row>
    <row r="490" spans="1:36" x14ac:dyDescent="0.25">
      <c r="A490" s="72"/>
      <c r="B490" s="66"/>
      <c r="C490" s="66"/>
      <c r="D490" s="67"/>
      <c r="E490" s="67"/>
      <c r="F490" s="67"/>
      <c r="G490" s="101"/>
      <c r="H490" s="101"/>
      <c r="I490" s="101"/>
      <c r="J490" s="101"/>
      <c r="K490" s="101"/>
      <c r="L490" s="61"/>
      <c r="M490" s="101"/>
      <c r="N490" s="61"/>
      <c r="P490" s="101"/>
      <c r="Q490" s="69"/>
      <c r="R490" s="13"/>
      <c r="S490" s="13"/>
      <c r="T490" s="13"/>
      <c r="U490" s="13"/>
      <c r="V490" s="13"/>
      <c r="W490" s="13"/>
      <c r="X490" s="347" t="s">
        <v>68</v>
      </c>
      <c r="Y490" s="348" t="s">
        <v>64</v>
      </c>
      <c r="Z490" s="387">
        <v>13</v>
      </c>
      <c r="AA490" s="350" t="s">
        <v>29</v>
      </c>
      <c r="AB490" s="355" t="s">
        <v>571</v>
      </c>
      <c r="AC490" s="357">
        <v>700</v>
      </c>
      <c r="AD490" s="353">
        <f t="shared" si="154"/>
        <v>319.90000000000003</v>
      </c>
      <c r="AE490" s="353">
        <f t="shared" si="154"/>
        <v>319.90000000000003</v>
      </c>
      <c r="AF490" s="468">
        <f t="shared" si="154"/>
        <v>319.89999999999998</v>
      </c>
      <c r="AG490" s="478">
        <f t="shared" si="139"/>
        <v>0.99999999999999978</v>
      </c>
      <c r="AH490" s="24"/>
      <c r="AI490" s="24"/>
      <c r="AJ490" s="115"/>
    </row>
    <row r="491" spans="1:36" s="80" customFormat="1" x14ac:dyDescent="0.25">
      <c r="A491" s="73"/>
      <c r="B491" s="66"/>
      <c r="C491" s="66"/>
      <c r="D491" s="67"/>
      <c r="E491" s="67"/>
      <c r="F491" s="67"/>
      <c r="G491" s="101"/>
      <c r="I491" s="18"/>
      <c r="J491" s="18"/>
      <c r="K491" s="18"/>
      <c r="L491" s="61"/>
      <c r="M491" s="18"/>
      <c r="N491" s="61"/>
      <c r="O491" s="33"/>
      <c r="P491" s="101"/>
      <c r="Q491" s="69"/>
      <c r="R491" s="19"/>
      <c r="S491" s="19"/>
      <c r="T491" s="19"/>
      <c r="U491" s="19"/>
      <c r="V491" s="19"/>
      <c r="X491" s="347" t="s">
        <v>372</v>
      </c>
      <c r="Y491" s="348" t="s">
        <v>64</v>
      </c>
      <c r="Z491" s="387">
        <v>13</v>
      </c>
      <c r="AA491" s="350" t="s">
        <v>29</v>
      </c>
      <c r="AB491" s="355" t="s">
        <v>571</v>
      </c>
      <c r="AC491" s="357">
        <v>730</v>
      </c>
      <c r="AD491" s="353">
        <f>1868.5-1557.3+8.4+0.3</f>
        <v>319.90000000000003</v>
      </c>
      <c r="AE491" s="353">
        <f>1868.5-1557.3+8.4+0.3</f>
        <v>319.90000000000003</v>
      </c>
      <c r="AF491" s="468">
        <v>319.89999999999998</v>
      </c>
      <c r="AG491" s="478">
        <f t="shared" si="139"/>
        <v>0.99999999999999978</v>
      </c>
      <c r="AH491" s="24"/>
      <c r="AI491" s="24"/>
      <c r="AJ491" s="115"/>
    </row>
    <row r="492" spans="1:36" ht="18.7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X492" s="340" t="s">
        <v>435</v>
      </c>
      <c r="Y492" s="341" t="s">
        <v>6</v>
      </c>
      <c r="Z492" s="415"/>
      <c r="AA492" s="416"/>
      <c r="AB492" s="351"/>
      <c r="AC492" s="352"/>
      <c r="AD492" s="346">
        <f>AD493+AD518</f>
        <v>18930.8</v>
      </c>
      <c r="AE492" s="346">
        <f>AE493+AE518</f>
        <v>18930.8</v>
      </c>
      <c r="AF492" s="467">
        <f>AF493+AF518</f>
        <v>18852.900000000001</v>
      </c>
      <c r="AG492" s="477">
        <f t="shared" si="139"/>
        <v>0.99588501278340069</v>
      </c>
    </row>
    <row r="493" spans="1:36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X493" s="340" t="s">
        <v>25</v>
      </c>
      <c r="Y493" s="341" t="s">
        <v>6</v>
      </c>
      <c r="Z493" s="342" t="s">
        <v>29</v>
      </c>
      <c r="AA493" s="400"/>
      <c r="AB493" s="351"/>
      <c r="AC493" s="345"/>
      <c r="AD493" s="346">
        <f t="shared" ref="AD493:AE493" si="155">AD494</f>
        <v>18494.8</v>
      </c>
      <c r="AE493" s="346">
        <f t="shared" si="155"/>
        <v>18494.8</v>
      </c>
      <c r="AF493" s="467">
        <f>AF494</f>
        <v>18417.2</v>
      </c>
      <c r="AG493" s="477">
        <f t="shared" si="139"/>
        <v>0.99580422605272845</v>
      </c>
    </row>
    <row r="494" spans="1:36" ht="31.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X494" s="347" t="s">
        <v>28</v>
      </c>
      <c r="Y494" s="348" t="s">
        <v>6</v>
      </c>
      <c r="Z494" s="349" t="s">
        <v>29</v>
      </c>
      <c r="AA494" s="350" t="s">
        <v>7</v>
      </c>
      <c r="AB494" s="344"/>
      <c r="AC494" s="352"/>
      <c r="AD494" s="353">
        <f>AD501+AD495</f>
        <v>18494.8</v>
      </c>
      <c r="AE494" s="353">
        <f>AE501+AE495</f>
        <v>18494.8</v>
      </c>
      <c r="AF494" s="468">
        <f t="shared" ref="AF494" si="156">AF501+AF495</f>
        <v>18417.2</v>
      </c>
      <c r="AG494" s="478">
        <f t="shared" si="139"/>
        <v>0.99580422605272845</v>
      </c>
      <c r="AH494" s="3"/>
      <c r="AI494" s="3"/>
    </row>
    <row r="495" spans="1:3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X495" s="354" t="s">
        <v>187</v>
      </c>
      <c r="Y495" s="348" t="s">
        <v>6</v>
      </c>
      <c r="Z495" s="349" t="s">
        <v>29</v>
      </c>
      <c r="AA495" s="350" t="s">
        <v>7</v>
      </c>
      <c r="AB495" s="355" t="s">
        <v>113</v>
      </c>
      <c r="AC495" s="352"/>
      <c r="AD495" s="353">
        <f t="shared" ref="AD495:AE499" si="157">AD496</f>
        <v>6.6</v>
      </c>
      <c r="AE495" s="353">
        <f t="shared" si="157"/>
        <v>6.6</v>
      </c>
      <c r="AF495" s="468">
        <f t="shared" ref="AF495:AF496" si="158">AF496</f>
        <v>6.6</v>
      </c>
      <c r="AG495" s="478">
        <f t="shared" si="139"/>
        <v>1</v>
      </c>
      <c r="AH495" s="3"/>
      <c r="AI495" s="3"/>
    </row>
    <row r="496" spans="1:36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X496" s="354" t="s">
        <v>191</v>
      </c>
      <c r="Y496" s="348" t="s">
        <v>6</v>
      </c>
      <c r="Z496" s="349" t="s">
        <v>29</v>
      </c>
      <c r="AA496" s="350" t="s">
        <v>7</v>
      </c>
      <c r="AB496" s="355" t="s">
        <v>192</v>
      </c>
      <c r="AC496" s="352"/>
      <c r="AD496" s="353">
        <f t="shared" si="157"/>
        <v>6.6</v>
      </c>
      <c r="AE496" s="353">
        <f t="shared" si="157"/>
        <v>6.6</v>
      </c>
      <c r="AF496" s="468">
        <f t="shared" si="158"/>
        <v>6.6</v>
      </c>
      <c r="AG496" s="478">
        <f t="shared" si="139"/>
        <v>1</v>
      </c>
      <c r="AH496" s="3"/>
      <c r="AI496" s="3"/>
    </row>
    <row r="497" spans="1:35" ht="31.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X497" s="347" t="s">
        <v>572</v>
      </c>
      <c r="Y497" s="348" t="s">
        <v>6</v>
      </c>
      <c r="Z497" s="349" t="s">
        <v>29</v>
      </c>
      <c r="AA497" s="350" t="s">
        <v>7</v>
      </c>
      <c r="AB497" s="363" t="s">
        <v>573</v>
      </c>
      <c r="AC497" s="357"/>
      <c r="AD497" s="353">
        <f t="shared" si="157"/>
        <v>6.6</v>
      </c>
      <c r="AE497" s="353">
        <f t="shared" si="157"/>
        <v>6.6</v>
      </c>
      <c r="AF497" s="468">
        <f t="shared" ref="AF497:AF499" si="159">AF498</f>
        <v>6.6</v>
      </c>
      <c r="AG497" s="478">
        <f t="shared" si="139"/>
        <v>1</v>
      </c>
      <c r="AH497" s="3"/>
      <c r="AI497" s="3"/>
    </row>
    <row r="498" spans="1:35" ht="78.7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X498" s="347" t="s">
        <v>432</v>
      </c>
      <c r="Y498" s="348" t="s">
        <v>6</v>
      </c>
      <c r="Z498" s="349" t="s">
        <v>29</v>
      </c>
      <c r="AA498" s="350" t="s">
        <v>7</v>
      </c>
      <c r="AB498" s="355" t="s">
        <v>574</v>
      </c>
      <c r="AC498" s="357"/>
      <c r="AD498" s="353">
        <f t="shared" si="157"/>
        <v>6.6</v>
      </c>
      <c r="AE498" s="353">
        <f t="shared" si="157"/>
        <v>6.6</v>
      </c>
      <c r="AF498" s="468">
        <f t="shared" si="159"/>
        <v>6.6</v>
      </c>
      <c r="AG498" s="478">
        <f t="shared" si="139"/>
        <v>1</v>
      </c>
      <c r="AH498" s="3"/>
      <c r="AI498" s="3"/>
    </row>
    <row r="499" spans="1:3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X499" s="347" t="s">
        <v>121</v>
      </c>
      <c r="Y499" s="348" t="s">
        <v>6</v>
      </c>
      <c r="Z499" s="349" t="s">
        <v>29</v>
      </c>
      <c r="AA499" s="350" t="s">
        <v>7</v>
      </c>
      <c r="AB499" s="355" t="s">
        <v>574</v>
      </c>
      <c r="AC499" s="357">
        <v>200</v>
      </c>
      <c r="AD499" s="353">
        <f t="shared" si="157"/>
        <v>6.6</v>
      </c>
      <c r="AE499" s="353">
        <f t="shared" si="157"/>
        <v>6.6</v>
      </c>
      <c r="AF499" s="468">
        <f t="shared" si="159"/>
        <v>6.6</v>
      </c>
      <c r="AG499" s="478">
        <f t="shared" si="139"/>
        <v>1</v>
      </c>
      <c r="AH499" s="3"/>
      <c r="AI499" s="3"/>
    </row>
    <row r="500" spans="1:35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X500" s="347" t="s">
        <v>52</v>
      </c>
      <c r="Y500" s="348" t="s">
        <v>6</v>
      </c>
      <c r="Z500" s="349" t="s">
        <v>29</v>
      </c>
      <c r="AA500" s="350" t="s">
        <v>7</v>
      </c>
      <c r="AB500" s="355" t="s">
        <v>574</v>
      </c>
      <c r="AC500" s="357">
        <v>240</v>
      </c>
      <c r="AD500" s="353">
        <v>6.6</v>
      </c>
      <c r="AE500" s="353">
        <v>6.6</v>
      </c>
      <c r="AF500" s="468">
        <v>6.6</v>
      </c>
      <c r="AG500" s="478">
        <f t="shared" si="139"/>
        <v>1</v>
      </c>
      <c r="AH500" s="3"/>
      <c r="AI500" s="3"/>
    </row>
    <row r="501" spans="1:35" ht="21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X501" s="354" t="s">
        <v>282</v>
      </c>
      <c r="Y501" s="348" t="s">
        <v>6</v>
      </c>
      <c r="Z501" s="349" t="s">
        <v>29</v>
      </c>
      <c r="AA501" s="350" t="s">
        <v>7</v>
      </c>
      <c r="AB501" s="355" t="s">
        <v>100</v>
      </c>
      <c r="AC501" s="352"/>
      <c r="AD501" s="353">
        <f>AD502+AD506+AD508</f>
        <v>18488.2</v>
      </c>
      <c r="AE501" s="353">
        <f>AE502+AE506+AE508</f>
        <v>18488.2</v>
      </c>
      <c r="AF501" s="468">
        <f>AF502+AF506+AF508</f>
        <v>18410.600000000002</v>
      </c>
      <c r="AG501" s="478">
        <f t="shared" si="139"/>
        <v>0.99580272822665272</v>
      </c>
      <c r="AH501" s="3"/>
      <c r="AI501" s="3"/>
    </row>
    <row r="502" spans="1:3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X502" s="417" t="s">
        <v>289</v>
      </c>
      <c r="Y502" s="348" t="s">
        <v>6</v>
      </c>
      <c r="Z502" s="349" t="s">
        <v>29</v>
      </c>
      <c r="AA502" s="350" t="s">
        <v>7</v>
      </c>
      <c r="AB502" s="355" t="s">
        <v>292</v>
      </c>
      <c r="AC502" s="357"/>
      <c r="AD502" s="353">
        <f t="shared" ref="AD502:AF503" si="160">AD503</f>
        <v>3213.4</v>
      </c>
      <c r="AE502" s="353">
        <f t="shared" si="160"/>
        <v>3213.4</v>
      </c>
      <c r="AF502" s="468">
        <f t="shared" si="160"/>
        <v>3212.8</v>
      </c>
      <c r="AG502" s="478">
        <f t="shared" si="139"/>
        <v>0.99981328188211871</v>
      </c>
      <c r="AH502" s="3"/>
      <c r="AI502" s="3"/>
    </row>
    <row r="503" spans="1:35" ht="47.2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X503" s="347" t="s">
        <v>41</v>
      </c>
      <c r="Y503" s="348" t="s">
        <v>6</v>
      </c>
      <c r="Z503" s="349" t="s">
        <v>29</v>
      </c>
      <c r="AA503" s="350" t="s">
        <v>7</v>
      </c>
      <c r="AB503" s="355" t="s">
        <v>292</v>
      </c>
      <c r="AC503" s="352">
        <v>100</v>
      </c>
      <c r="AD503" s="353">
        <f t="shared" si="160"/>
        <v>3213.4</v>
      </c>
      <c r="AE503" s="353">
        <f t="shared" si="160"/>
        <v>3213.4</v>
      </c>
      <c r="AF503" s="468">
        <f t="shared" si="160"/>
        <v>3212.8</v>
      </c>
      <c r="AG503" s="478">
        <f t="shared" ref="AG503:AG566" si="161">AF503/AE503</f>
        <v>0.99981328188211871</v>
      </c>
      <c r="AH503" s="3"/>
      <c r="AI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X504" s="347" t="s">
        <v>97</v>
      </c>
      <c r="Y504" s="348" t="s">
        <v>6</v>
      </c>
      <c r="Z504" s="349" t="s">
        <v>29</v>
      </c>
      <c r="AA504" s="350" t="s">
        <v>7</v>
      </c>
      <c r="AB504" s="355" t="s">
        <v>292</v>
      </c>
      <c r="AC504" s="357">
        <v>120</v>
      </c>
      <c r="AD504" s="353">
        <f>3223.4+24-34</f>
        <v>3213.4</v>
      </c>
      <c r="AE504" s="353">
        <f>3223.4+24-34</f>
        <v>3213.4</v>
      </c>
      <c r="AF504" s="468">
        <v>3212.8</v>
      </c>
      <c r="AG504" s="478">
        <f t="shared" si="161"/>
        <v>0.99981328188211871</v>
      </c>
      <c r="AH504" s="110"/>
      <c r="AI504" s="110"/>
    </row>
    <row r="505" spans="1:3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X505" s="347" t="s">
        <v>341</v>
      </c>
      <c r="Y505" s="348" t="s">
        <v>6</v>
      </c>
      <c r="Z505" s="349" t="s">
        <v>29</v>
      </c>
      <c r="AA505" s="350" t="s">
        <v>7</v>
      </c>
      <c r="AB505" s="355" t="s">
        <v>293</v>
      </c>
      <c r="AC505" s="357"/>
      <c r="AD505" s="353">
        <f>AD507</f>
        <v>2324.9</v>
      </c>
      <c r="AE505" s="353">
        <f>AE507</f>
        <v>2324.9</v>
      </c>
      <c r="AF505" s="468">
        <f>AF507</f>
        <v>2323.9</v>
      </c>
      <c r="AG505" s="478">
        <f t="shared" si="161"/>
        <v>0.99956987397307406</v>
      </c>
      <c r="AH505" s="110"/>
      <c r="AI505" s="110"/>
    </row>
    <row r="506" spans="1:35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X506" s="347" t="s">
        <v>41</v>
      </c>
      <c r="Y506" s="348" t="s">
        <v>6</v>
      </c>
      <c r="Z506" s="349" t="s">
        <v>29</v>
      </c>
      <c r="AA506" s="350" t="s">
        <v>7</v>
      </c>
      <c r="AB506" s="355" t="s">
        <v>293</v>
      </c>
      <c r="AC506" s="352">
        <v>100</v>
      </c>
      <c r="AD506" s="353">
        <f>AD507</f>
        <v>2324.9</v>
      </c>
      <c r="AE506" s="353">
        <f>AE507</f>
        <v>2324.9</v>
      </c>
      <c r="AF506" s="468">
        <f>AF507</f>
        <v>2323.9</v>
      </c>
      <c r="AG506" s="478">
        <f t="shared" si="161"/>
        <v>0.99956987397307406</v>
      </c>
      <c r="AH506" s="110"/>
      <c r="AI506" s="110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X507" s="347" t="s">
        <v>97</v>
      </c>
      <c r="Y507" s="348" t="s">
        <v>6</v>
      </c>
      <c r="Z507" s="349" t="s">
        <v>29</v>
      </c>
      <c r="AA507" s="350" t="s">
        <v>7</v>
      </c>
      <c r="AB507" s="355" t="s">
        <v>293</v>
      </c>
      <c r="AC507" s="357">
        <v>120</v>
      </c>
      <c r="AD507" s="353">
        <f>2447.9-94-29</f>
        <v>2324.9</v>
      </c>
      <c r="AE507" s="353">
        <f>2447.9-94-29</f>
        <v>2324.9</v>
      </c>
      <c r="AF507" s="468">
        <v>2323.9</v>
      </c>
      <c r="AG507" s="478">
        <f t="shared" si="161"/>
        <v>0.99956987397307406</v>
      </c>
      <c r="AH507" s="110"/>
      <c r="AI507" s="110"/>
    </row>
    <row r="508" spans="1:3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X508" s="368" t="s">
        <v>290</v>
      </c>
      <c r="Y508" s="348" t="s">
        <v>6</v>
      </c>
      <c r="Z508" s="349" t="s">
        <v>29</v>
      </c>
      <c r="AA508" s="350" t="s">
        <v>7</v>
      </c>
      <c r="AB508" s="355" t="s">
        <v>291</v>
      </c>
      <c r="AC508" s="357"/>
      <c r="AD508" s="353">
        <f>AD509+AD512+AD515</f>
        <v>12949.900000000001</v>
      </c>
      <c r="AE508" s="353">
        <f>AE509+AE512+AE515</f>
        <v>12949.900000000001</v>
      </c>
      <c r="AF508" s="468">
        <f>AF509+AF512+AF515</f>
        <v>12873.900000000001</v>
      </c>
      <c r="AG508" s="478">
        <f t="shared" si="161"/>
        <v>0.99413122881257765</v>
      </c>
      <c r="AH508" s="110"/>
      <c r="AI508" s="110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X509" s="347" t="s">
        <v>294</v>
      </c>
      <c r="Y509" s="348" t="s">
        <v>6</v>
      </c>
      <c r="Z509" s="349" t="s">
        <v>29</v>
      </c>
      <c r="AA509" s="350" t="s">
        <v>7</v>
      </c>
      <c r="AB509" s="355" t="s">
        <v>295</v>
      </c>
      <c r="AC509" s="357"/>
      <c r="AD509" s="353">
        <f t="shared" ref="AD509:AF510" si="162">AD510</f>
        <v>1988.8000000000002</v>
      </c>
      <c r="AE509" s="353">
        <f t="shared" si="162"/>
        <v>1988.8000000000002</v>
      </c>
      <c r="AF509" s="468">
        <f t="shared" si="162"/>
        <v>1915.3</v>
      </c>
      <c r="AG509" s="478">
        <f t="shared" si="161"/>
        <v>0.96304304102976657</v>
      </c>
      <c r="AH509" s="110"/>
      <c r="AI509" s="110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X510" s="347" t="s">
        <v>121</v>
      </c>
      <c r="Y510" s="348" t="s">
        <v>6</v>
      </c>
      <c r="Z510" s="349" t="s">
        <v>29</v>
      </c>
      <c r="AA510" s="350" t="s">
        <v>7</v>
      </c>
      <c r="AB510" s="355" t="s">
        <v>295</v>
      </c>
      <c r="AC510" s="357">
        <v>200</v>
      </c>
      <c r="AD510" s="353">
        <f t="shared" si="162"/>
        <v>1988.8000000000002</v>
      </c>
      <c r="AE510" s="353">
        <f t="shared" si="162"/>
        <v>1988.8000000000002</v>
      </c>
      <c r="AF510" s="468">
        <f t="shared" si="162"/>
        <v>1915.3</v>
      </c>
      <c r="AG510" s="478">
        <f t="shared" si="161"/>
        <v>0.96304304102976657</v>
      </c>
      <c r="AH510" s="110"/>
      <c r="AI510" s="110"/>
    </row>
    <row r="511" spans="1:35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X511" s="347" t="s">
        <v>52</v>
      </c>
      <c r="Y511" s="348" t="s">
        <v>6</v>
      </c>
      <c r="Z511" s="349" t="s">
        <v>29</v>
      </c>
      <c r="AA511" s="350" t="s">
        <v>7</v>
      </c>
      <c r="AB511" s="355" t="s">
        <v>295</v>
      </c>
      <c r="AC511" s="357">
        <v>240</v>
      </c>
      <c r="AD511" s="353">
        <f>1780.4+300-6.6-40-45</f>
        <v>1988.8000000000002</v>
      </c>
      <c r="AE511" s="353">
        <f>1780.4+300-6.6-40-45</f>
        <v>1988.8000000000002</v>
      </c>
      <c r="AF511" s="468">
        <v>1915.3</v>
      </c>
      <c r="AG511" s="478">
        <f t="shared" si="161"/>
        <v>0.96304304102976657</v>
      </c>
      <c r="AH511" s="208"/>
      <c r="AI511" s="110"/>
    </row>
    <row r="512" spans="1:35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X512" s="347" t="s">
        <v>298</v>
      </c>
      <c r="Y512" s="348" t="s">
        <v>6</v>
      </c>
      <c r="Z512" s="349" t="s">
        <v>29</v>
      </c>
      <c r="AA512" s="350" t="s">
        <v>7</v>
      </c>
      <c r="AB512" s="355" t="s">
        <v>296</v>
      </c>
      <c r="AC512" s="357"/>
      <c r="AD512" s="353">
        <f t="shared" ref="AD512:AF513" si="163">AD513</f>
        <v>5162.3999999999996</v>
      </c>
      <c r="AE512" s="353">
        <f t="shared" si="163"/>
        <v>5162.3999999999996</v>
      </c>
      <c r="AF512" s="353">
        <f t="shared" si="163"/>
        <v>5160.8</v>
      </c>
      <c r="AG512" s="478">
        <f t="shared" si="161"/>
        <v>0.99969006663567339</v>
      </c>
      <c r="AH512" s="110"/>
      <c r="AI512" s="110"/>
    </row>
    <row r="513" spans="1:35" ht="47.2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X513" s="347" t="s">
        <v>41</v>
      </c>
      <c r="Y513" s="348" t="s">
        <v>6</v>
      </c>
      <c r="Z513" s="349" t="s">
        <v>29</v>
      </c>
      <c r="AA513" s="350" t="s">
        <v>7</v>
      </c>
      <c r="AB513" s="355" t="s">
        <v>296</v>
      </c>
      <c r="AC513" s="352">
        <v>100</v>
      </c>
      <c r="AD513" s="353">
        <f t="shared" si="163"/>
        <v>5162.3999999999996</v>
      </c>
      <c r="AE513" s="353">
        <f t="shared" si="163"/>
        <v>5162.3999999999996</v>
      </c>
      <c r="AF513" s="468">
        <f t="shared" si="163"/>
        <v>5160.8</v>
      </c>
      <c r="AG513" s="478">
        <f t="shared" si="161"/>
        <v>0.99969006663567339</v>
      </c>
      <c r="AH513" s="110"/>
      <c r="AI513" s="110"/>
    </row>
    <row r="514" spans="1:3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X514" s="347" t="s">
        <v>97</v>
      </c>
      <c r="Y514" s="348" t="s">
        <v>6</v>
      </c>
      <c r="Z514" s="349" t="s">
        <v>29</v>
      </c>
      <c r="AA514" s="350" t="s">
        <v>7</v>
      </c>
      <c r="AB514" s="355" t="s">
        <v>296</v>
      </c>
      <c r="AC514" s="357">
        <v>120</v>
      </c>
      <c r="AD514" s="353">
        <f>4616.5+102+28+415.9</f>
        <v>5162.3999999999996</v>
      </c>
      <c r="AE514" s="353">
        <f>4616.5+102+28+415.9</f>
        <v>5162.3999999999996</v>
      </c>
      <c r="AF514" s="468">
        <v>5160.8</v>
      </c>
      <c r="AG514" s="478">
        <f t="shared" si="161"/>
        <v>0.99969006663567339</v>
      </c>
      <c r="AH514" s="110"/>
      <c r="AI514" s="110"/>
    </row>
    <row r="515" spans="1:35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X515" s="347" t="s">
        <v>299</v>
      </c>
      <c r="Y515" s="348" t="s">
        <v>6</v>
      </c>
      <c r="Z515" s="349" t="s">
        <v>29</v>
      </c>
      <c r="AA515" s="350" t="s">
        <v>7</v>
      </c>
      <c r="AB515" s="355" t="s">
        <v>297</v>
      </c>
      <c r="AC515" s="357"/>
      <c r="AD515" s="353">
        <f t="shared" ref="AD515:AF516" si="164">AD516</f>
        <v>5798.7000000000007</v>
      </c>
      <c r="AE515" s="353">
        <f t="shared" si="164"/>
        <v>5798.7000000000007</v>
      </c>
      <c r="AF515" s="468">
        <f t="shared" si="164"/>
        <v>5797.8</v>
      </c>
      <c r="AG515" s="478">
        <f t="shared" si="161"/>
        <v>0.99984479279838578</v>
      </c>
      <c r="AH515" s="110"/>
      <c r="AI515" s="110"/>
    </row>
    <row r="516" spans="1:35" ht="47.2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X516" s="347" t="s">
        <v>41</v>
      </c>
      <c r="Y516" s="348" t="s">
        <v>6</v>
      </c>
      <c r="Z516" s="349" t="s">
        <v>29</v>
      </c>
      <c r="AA516" s="350" t="s">
        <v>7</v>
      </c>
      <c r="AB516" s="355" t="s">
        <v>297</v>
      </c>
      <c r="AC516" s="352">
        <v>100</v>
      </c>
      <c r="AD516" s="353">
        <f t="shared" si="164"/>
        <v>5798.7000000000007</v>
      </c>
      <c r="AE516" s="353">
        <f t="shared" si="164"/>
        <v>5798.7000000000007</v>
      </c>
      <c r="AF516" s="468">
        <f t="shared" si="164"/>
        <v>5797.8</v>
      </c>
      <c r="AG516" s="478">
        <f t="shared" si="161"/>
        <v>0.99984479279838578</v>
      </c>
      <c r="AH516" s="110"/>
      <c r="AI516" s="110"/>
    </row>
    <row r="517" spans="1:3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X517" s="347" t="s">
        <v>97</v>
      </c>
      <c r="Y517" s="348" t="s">
        <v>6</v>
      </c>
      <c r="Z517" s="349" t="s">
        <v>29</v>
      </c>
      <c r="AA517" s="350" t="s">
        <v>7</v>
      </c>
      <c r="AB517" s="355" t="s">
        <v>297</v>
      </c>
      <c r="AC517" s="357">
        <v>120</v>
      </c>
      <c r="AD517" s="353">
        <f>4859.1+70+18+851.6</f>
        <v>5798.7000000000007</v>
      </c>
      <c r="AE517" s="353">
        <f>4859.1+70+18+851.6</f>
        <v>5798.7000000000007</v>
      </c>
      <c r="AF517" s="468">
        <v>5797.8</v>
      </c>
      <c r="AG517" s="478">
        <f t="shared" si="161"/>
        <v>0.99984479279838578</v>
      </c>
      <c r="AH517" s="110"/>
      <c r="AI517" s="110"/>
    </row>
    <row r="518" spans="1:3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X518" s="340" t="s">
        <v>95</v>
      </c>
      <c r="Y518" s="341" t="s">
        <v>6</v>
      </c>
      <c r="Z518" s="378" t="s">
        <v>36</v>
      </c>
      <c r="AA518" s="400"/>
      <c r="AB518" s="344"/>
      <c r="AC518" s="345"/>
      <c r="AD518" s="346">
        <f t="shared" ref="AD518:AF524" si="165">AD519</f>
        <v>436</v>
      </c>
      <c r="AE518" s="346">
        <f t="shared" si="165"/>
        <v>436</v>
      </c>
      <c r="AF518" s="467">
        <f t="shared" si="165"/>
        <v>435.7</v>
      </c>
      <c r="AG518" s="478">
        <f t="shared" si="161"/>
        <v>0.99931192660550461</v>
      </c>
      <c r="AH518" s="110"/>
      <c r="AI518" s="110"/>
    </row>
    <row r="519" spans="1:3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X519" s="347" t="s">
        <v>56</v>
      </c>
      <c r="Y519" s="348" t="s">
        <v>6</v>
      </c>
      <c r="Z519" s="349">
        <v>10</v>
      </c>
      <c r="AA519" s="350" t="s">
        <v>29</v>
      </c>
      <c r="AB519" s="351"/>
      <c r="AC519" s="393"/>
      <c r="AD519" s="353">
        <f t="shared" si="165"/>
        <v>436</v>
      </c>
      <c r="AE519" s="353">
        <f t="shared" si="165"/>
        <v>436</v>
      </c>
      <c r="AF519" s="468">
        <f t="shared" si="165"/>
        <v>435.7</v>
      </c>
      <c r="AG519" s="478">
        <f t="shared" si="161"/>
        <v>0.99931192660550461</v>
      </c>
      <c r="AH519" s="110"/>
      <c r="AI519" s="110"/>
    </row>
    <row r="520" spans="1:3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X520" s="354" t="s">
        <v>300</v>
      </c>
      <c r="Y520" s="348" t="s">
        <v>6</v>
      </c>
      <c r="Z520" s="349">
        <v>10</v>
      </c>
      <c r="AA520" s="350" t="s">
        <v>29</v>
      </c>
      <c r="AB520" s="355" t="s">
        <v>110</v>
      </c>
      <c r="AC520" s="393"/>
      <c r="AD520" s="353">
        <f t="shared" si="165"/>
        <v>436</v>
      </c>
      <c r="AE520" s="353">
        <f t="shared" si="165"/>
        <v>436</v>
      </c>
      <c r="AF520" s="468">
        <f t="shared" si="165"/>
        <v>435.7</v>
      </c>
      <c r="AG520" s="478">
        <f t="shared" si="161"/>
        <v>0.99931192660550461</v>
      </c>
      <c r="AH520" s="110"/>
      <c r="AI520" s="110"/>
    </row>
    <row r="521" spans="1:3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X521" s="354" t="s">
        <v>301</v>
      </c>
      <c r="Y521" s="348" t="s">
        <v>6</v>
      </c>
      <c r="Z521" s="349">
        <v>10</v>
      </c>
      <c r="AA521" s="350" t="s">
        <v>29</v>
      </c>
      <c r="AB521" s="355" t="s">
        <v>119</v>
      </c>
      <c r="AC521" s="393"/>
      <c r="AD521" s="353">
        <f t="shared" si="165"/>
        <v>436</v>
      </c>
      <c r="AE521" s="353">
        <f t="shared" si="165"/>
        <v>436</v>
      </c>
      <c r="AF521" s="468">
        <f t="shared" si="165"/>
        <v>435.7</v>
      </c>
      <c r="AG521" s="478">
        <f t="shared" si="161"/>
        <v>0.99931192660550461</v>
      </c>
      <c r="AH521" s="110"/>
      <c r="AI521" s="110"/>
    </row>
    <row r="522" spans="1:35" ht="32.450000000000003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X522" s="354" t="s">
        <v>498</v>
      </c>
      <c r="Y522" s="348" t="s">
        <v>6</v>
      </c>
      <c r="Z522" s="349">
        <v>10</v>
      </c>
      <c r="AA522" s="350" t="s">
        <v>29</v>
      </c>
      <c r="AB522" s="355" t="s">
        <v>497</v>
      </c>
      <c r="AC522" s="393"/>
      <c r="AD522" s="353">
        <f t="shared" si="165"/>
        <v>436</v>
      </c>
      <c r="AE522" s="353">
        <f t="shared" si="165"/>
        <v>436</v>
      </c>
      <c r="AF522" s="468">
        <f t="shared" si="165"/>
        <v>435.7</v>
      </c>
      <c r="AG522" s="478">
        <f t="shared" si="161"/>
        <v>0.99931192660550461</v>
      </c>
      <c r="AH522" s="110"/>
      <c r="AI522" s="110"/>
    </row>
    <row r="523" spans="1:35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X523" s="368" t="s">
        <v>303</v>
      </c>
      <c r="Y523" s="348" t="s">
        <v>6</v>
      </c>
      <c r="Z523" s="349">
        <v>10</v>
      </c>
      <c r="AA523" s="350" t="s">
        <v>29</v>
      </c>
      <c r="AB523" s="355" t="s">
        <v>496</v>
      </c>
      <c r="AC523" s="393"/>
      <c r="AD523" s="353">
        <f t="shared" si="165"/>
        <v>436</v>
      </c>
      <c r="AE523" s="353">
        <f t="shared" si="165"/>
        <v>436</v>
      </c>
      <c r="AF523" s="468">
        <f t="shared" si="165"/>
        <v>435.7</v>
      </c>
      <c r="AG523" s="478">
        <f t="shared" si="161"/>
        <v>0.99931192660550461</v>
      </c>
      <c r="AH523" s="110"/>
      <c r="AI523" s="110"/>
    </row>
    <row r="524" spans="1:3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X524" s="347" t="s">
        <v>98</v>
      </c>
      <c r="Y524" s="348" t="s">
        <v>6</v>
      </c>
      <c r="Z524" s="349">
        <v>10</v>
      </c>
      <c r="AA524" s="350" t="s">
        <v>29</v>
      </c>
      <c r="AB524" s="355" t="s">
        <v>496</v>
      </c>
      <c r="AC524" s="357">
        <v>300</v>
      </c>
      <c r="AD524" s="353">
        <f t="shared" si="165"/>
        <v>436</v>
      </c>
      <c r="AE524" s="353">
        <f t="shared" si="165"/>
        <v>436</v>
      </c>
      <c r="AF524" s="468">
        <f t="shared" si="165"/>
        <v>435.7</v>
      </c>
      <c r="AG524" s="478">
        <f t="shared" si="161"/>
        <v>0.99931192660550461</v>
      </c>
      <c r="AH524" s="110"/>
      <c r="AI524" s="110"/>
    </row>
    <row r="525" spans="1:35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X525" s="347" t="s">
        <v>40</v>
      </c>
      <c r="Y525" s="348" t="s">
        <v>6</v>
      </c>
      <c r="Z525" s="349">
        <v>10</v>
      </c>
      <c r="AA525" s="350" t="s">
        <v>29</v>
      </c>
      <c r="AB525" s="355" t="s">
        <v>496</v>
      </c>
      <c r="AC525" s="357">
        <v>320</v>
      </c>
      <c r="AD525" s="353">
        <f>408+28</f>
        <v>436</v>
      </c>
      <c r="AE525" s="353">
        <f>408+28</f>
        <v>436</v>
      </c>
      <c r="AF525" s="468">
        <v>435.7</v>
      </c>
      <c r="AG525" s="478">
        <f t="shared" si="161"/>
        <v>0.99931192660550461</v>
      </c>
      <c r="AH525" s="110"/>
      <c r="AI525" s="110"/>
    </row>
    <row r="526" spans="1:35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X526" s="340" t="s">
        <v>436</v>
      </c>
      <c r="Y526" s="341" t="s">
        <v>26</v>
      </c>
      <c r="Z526" s="415"/>
      <c r="AA526" s="418"/>
      <c r="AB526" s="383"/>
      <c r="AC526" s="384"/>
      <c r="AD526" s="346">
        <f>AD527+AD559+AD550</f>
        <v>33888.200000000004</v>
      </c>
      <c r="AE526" s="346">
        <f>AE527+AE559+AE550</f>
        <v>33888.200000000004</v>
      </c>
      <c r="AF526" s="467">
        <f t="shared" ref="AF526" si="166">AF527+AF559+AF550</f>
        <v>33786.9</v>
      </c>
      <c r="AG526" s="477">
        <f t="shared" si="161"/>
        <v>0.99701075890723012</v>
      </c>
      <c r="AH526" s="110"/>
      <c r="AI526" s="110"/>
    </row>
    <row r="527" spans="1:35" ht="18.75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X527" s="340" t="s">
        <v>25</v>
      </c>
      <c r="Y527" s="341" t="s">
        <v>26</v>
      </c>
      <c r="Z527" s="342" t="s">
        <v>29</v>
      </c>
      <c r="AA527" s="419"/>
      <c r="AB527" s="420"/>
      <c r="AC527" s="421"/>
      <c r="AD527" s="346">
        <f t="shared" ref="AD527:AF529" si="167">AD528</f>
        <v>33131.599999999999</v>
      </c>
      <c r="AE527" s="346">
        <f t="shared" si="167"/>
        <v>33131.599999999999</v>
      </c>
      <c r="AF527" s="467">
        <f t="shared" si="167"/>
        <v>33030.299999999996</v>
      </c>
      <c r="AG527" s="477">
        <f t="shared" si="161"/>
        <v>0.99694249598570539</v>
      </c>
      <c r="AH527" s="110"/>
      <c r="AI527" s="110"/>
    </row>
    <row r="528" spans="1:35" ht="31.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X528" s="347" t="s">
        <v>437</v>
      </c>
      <c r="Y528" s="348" t="s">
        <v>26</v>
      </c>
      <c r="Z528" s="349" t="s">
        <v>29</v>
      </c>
      <c r="AA528" s="350" t="s">
        <v>96</v>
      </c>
      <c r="AB528" s="367"/>
      <c r="AC528" s="357"/>
      <c r="AD528" s="353">
        <f t="shared" si="167"/>
        <v>33131.599999999999</v>
      </c>
      <c r="AE528" s="353">
        <f t="shared" si="167"/>
        <v>33131.599999999999</v>
      </c>
      <c r="AF528" s="468">
        <f t="shared" si="167"/>
        <v>33030.299999999996</v>
      </c>
      <c r="AG528" s="478">
        <f t="shared" si="161"/>
        <v>0.99694249598570539</v>
      </c>
      <c r="AH528" s="110"/>
      <c r="AI528" s="110"/>
    </row>
    <row r="529" spans="1:3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X529" s="354" t="s">
        <v>187</v>
      </c>
      <c r="Y529" s="348" t="s">
        <v>26</v>
      </c>
      <c r="Z529" s="349" t="s">
        <v>29</v>
      </c>
      <c r="AA529" s="350" t="s">
        <v>96</v>
      </c>
      <c r="AB529" s="355" t="s">
        <v>113</v>
      </c>
      <c r="AC529" s="357"/>
      <c r="AD529" s="353">
        <f t="shared" si="167"/>
        <v>33131.599999999999</v>
      </c>
      <c r="AE529" s="353">
        <f t="shared" si="167"/>
        <v>33131.599999999999</v>
      </c>
      <c r="AF529" s="468">
        <f t="shared" si="167"/>
        <v>33030.299999999996</v>
      </c>
      <c r="AG529" s="478">
        <f t="shared" si="161"/>
        <v>0.99694249598570539</v>
      </c>
      <c r="AH529" s="110"/>
      <c r="AI529" s="110"/>
    </row>
    <row r="530" spans="1:3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X530" s="354" t="s">
        <v>191</v>
      </c>
      <c r="Y530" s="348" t="s">
        <v>26</v>
      </c>
      <c r="Z530" s="349" t="s">
        <v>29</v>
      </c>
      <c r="AA530" s="350" t="s">
        <v>96</v>
      </c>
      <c r="AB530" s="355" t="s">
        <v>192</v>
      </c>
      <c r="AC530" s="357"/>
      <c r="AD530" s="353">
        <f>AD531+AD546</f>
        <v>33131.599999999999</v>
      </c>
      <c r="AE530" s="353">
        <f>AE531+AE546</f>
        <v>33131.599999999999</v>
      </c>
      <c r="AF530" s="468">
        <f>AF531+AF546</f>
        <v>33030.299999999996</v>
      </c>
      <c r="AG530" s="478">
        <f t="shared" si="161"/>
        <v>0.99694249598570539</v>
      </c>
      <c r="AH530" s="110"/>
      <c r="AI530" s="110"/>
    </row>
    <row r="531" spans="1:35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X531" s="354" t="s">
        <v>193</v>
      </c>
      <c r="Y531" s="348" t="s">
        <v>26</v>
      </c>
      <c r="Z531" s="349" t="s">
        <v>29</v>
      </c>
      <c r="AA531" s="350" t="s">
        <v>96</v>
      </c>
      <c r="AB531" s="355" t="s">
        <v>194</v>
      </c>
      <c r="AC531" s="357"/>
      <c r="AD531" s="353">
        <f>AD532</f>
        <v>33007.1</v>
      </c>
      <c r="AE531" s="353">
        <f>AE532</f>
        <v>33007.1</v>
      </c>
      <c r="AF531" s="468">
        <f>AF532</f>
        <v>32905.799999999996</v>
      </c>
      <c r="AG531" s="478">
        <f t="shared" si="161"/>
        <v>0.99693096333819076</v>
      </c>
      <c r="AH531" s="110"/>
      <c r="AI531" s="110"/>
    </row>
    <row r="532" spans="1:3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X532" s="368" t="s">
        <v>211</v>
      </c>
      <c r="Y532" s="348" t="s">
        <v>26</v>
      </c>
      <c r="Z532" s="349" t="s">
        <v>29</v>
      </c>
      <c r="AA532" s="350" t="s">
        <v>96</v>
      </c>
      <c r="AB532" s="363" t="s">
        <v>212</v>
      </c>
      <c r="AC532" s="357"/>
      <c r="AD532" s="353">
        <f>AD533+AD540+AD543</f>
        <v>33007.1</v>
      </c>
      <c r="AE532" s="353">
        <f>AE533+AE540+AE543</f>
        <v>33007.1</v>
      </c>
      <c r="AF532" s="468">
        <f>AF533+AF540+AF543</f>
        <v>32905.799999999996</v>
      </c>
      <c r="AG532" s="478">
        <f t="shared" si="161"/>
        <v>0.99693096333819076</v>
      </c>
      <c r="AH532" s="110"/>
      <c r="AI532" s="110"/>
    </row>
    <row r="533" spans="1:35" ht="31.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X533" s="347" t="s">
        <v>213</v>
      </c>
      <c r="Y533" s="348" t="s">
        <v>26</v>
      </c>
      <c r="Z533" s="349" t="s">
        <v>29</v>
      </c>
      <c r="AA533" s="350" t="s">
        <v>96</v>
      </c>
      <c r="AB533" s="363" t="s">
        <v>214</v>
      </c>
      <c r="AC533" s="357"/>
      <c r="AD533" s="353">
        <f>AD534+AD536+AD538</f>
        <v>2996.7999999999997</v>
      </c>
      <c r="AE533" s="353">
        <f>AE534+AE536+AE538</f>
        <v>2996.7999999999997</v>
      </c>
      <c r="AF533" s="468">
        <f t="shared" ref="AF533" si="168">AF534+AF536+AF538</f>
        <v>2896.3</v>
      </c>
      <c r="AG533" s="478">
        <f t="shared" si="161"/>
        <v>0.96646422851041125</v>
      </c>
      <c r="AH533" s="110"/>
      <c r="AI533" s="110"/>
    </row>
    <row r="534" spans="1:3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X534" s="347" t="s">
        <v>121</v>
      </c>
      <c r="Y534" s="348" t="s">
        <v>26</v>
      </c>
      <c r="Z534" s="349" t="s">
        <v>29</v>
      </c>
      <c r="AA534" s="350" t="s">
        <v>96</v>
      </c>
      <c r="AB534" s="363" t="s">
        <v>214</v>
      </c>
      <c r="AC534" s="357">
        <v>200</v>
      </c>
      <c r="AD534" s="353">
        <f>AD535</f>
        <v>2991.3999999999996</v>
      </c>
      <c r="AE534" s="353">
        <f>AE535</f>
        <v>2991.2999999999997</v>
      </c>
      <c r="AF534" s="468">
        <f>AF535</f>
        <v>2890.8</v>
      </c>
      <c r="AG534" s="478">
        <f t="shared" si="161"/>
        <v>0.96640256744559239</v>
      </c>
      <c r="AH534" s="110"/>
      <c r="AI534" s="110"/>
    </row>
    <row r="535" spans="1:35" ht="31.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X535" s="347" t="s">
        <v>52</v>
      </c>
      <c r="Y535" s="348" t="s">
        <v>26</v>
      </c>
      <c r="Z535" s="349" t="s">
        <v>29</v>
      </c>
      <c r="AA535" s="350" t="s">
        <v>96</v>
      </c>
      <c r="AB535" s="363" t="s">
        <v>214</v>
      </c>
      <c r="AC535" s="357">
        <v>240</v>
      </c>
      <c r="AD535" s="353">
        <f>3485+90-5.4+8.7+5.4+339.2-46.5-18-867</f>
        <v>2991.3999999999996</v>
      </c>
      <c r="AE535" s="353">
        <f>3485+90-5.4+8.7+5.4+339.2-46.5-18-867-0.1</f>
        <v>2991.2999999999997</v>
      </c>
      <c r="AF535" s="468">
        <v>2890.8</v>
      </c>
      <c r="AG535" s="478">
        <f t="shared" si="161"/>
        <v>0.96640256744559239</v>
      </c>
      <c r="AH535" s="110"/>
      <c r="AI535" s="110"/>
    </row>
    <row r="536" spans="1:3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X536" s="347" t="s">
        <v>98</v>
      </c>
      <c r="Y536" s="348" t="s">
        <v>26</v>
      </c>
      <c r="Z536" s="349" t="s">
        <v>29</v>
      </c>
      <c r="AA536" s="350" t="s">
        <v>96</v>
      </c>
      <c r="AB536" s="363" t="s">
        <v>214</v>
      </c>
      <c r="AC536" s="357">
        <v>300</v>
      </c>
      <c r="AD536" s="353">
        <f>AD537</f>
        <v>5.4</v>
      </c>
      <c r="AE536" s="353">
        <f>AE537</f>
        <v>5.4</v>
      </c>
      <c r="AF536" s="468">
        <f>AF537</f>
        <v>5.4</v>
      </c>
      <c r="AG536" s="478">
        <f t="shared" si="161"/>
        <v>1</v>
      </c>
      <c r="AH536" s="110"/>
      <c r="AI536" s="110"/>
    </row>
    <row r="537" spans="1:3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X537" s="347" t="s">
        <v>40</v>
      </c>
      <c r="Y537" s="348" t="s">
        <v>26</v>
      </c>
      <c r="Z537" s="349" t="s">
        <v>29</v>
      </c>
      <c r="AA537" s="350" t="s">
        <v>96</v>
      </c>
      <c r="AB537" s="363" t="s">
        <v>214</v>
      </c>
      <c r="AC537" s="357">
        <v>320</v>
      </c>
      <c r="AD537" s="353">
        <v>5.4</v>
      </c>
      <c r="AE537" s="353">
        <v>5.4</v>
      </c>
      <c r="AF537" s="468">
        <v>5.4</v>
      </c>
      <c r="AG537" s="478">
        <f t="shared" si="161"/>
        <v>1</v>
      </c>
      <c r="AH537" s="110"/>
      <c r="AI537" s="110"/>
    </row>
    <row r="538" spans="1:3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X538" s="347" t="s">
        <v>42</v>
      </c>
      <c r="Y538" s="348" t="s">
        <v>26</v>
      </c>
      <c r="Z538" s="349" t="s">
        <v>29</v>
      </c>
      <c r="AA538" s="350" t="s">
        <v>96</v>
      </c>
      <c r="AB538" s="363" t="s">
        <v>214</v>
      </c>
      <c r="AC538" s="357">
        <v>800</v>
      </c>
      <c r="AD538" s="353">
        <f>AD539</f>
        <v>0</v>
      </c>
      <c r="AE538" s="353">
        <f t="shared" ref="AE538:AF538" si="169">AE539</f>
        <v>0.1</v>
      </c>
      <c r="AF538" s="468">
        <f t="shared" si="169"/>
        <v>0.1</v>
      </c>
      <c r="AG538" s="478">
        <f t="shared" si="161"/>
        <v>1</v>
      </c>
      <c r="AH538" s="110"/>
      <c r="AI538" s="110"/>
    </row>
    <row r="539" spans="1:3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X539" s="347" t="s">
        <v>58</v>
      </c>
      <c r="Y539" s="348" t="s">
        <v>26</v>
      </c>
      <c r="Z539" s="349" t="s">
        <v>29</v>
      </c>
      <c r="AA539" s="350" t="s">
        <v>96</v>
      </c>
      <c r="AB539" s="363" t="s">
        <v>214</v>
      </c>
      <c r="AC539" s="357">
        <v>850</v>
      </c>
      <c r="AD539" s="353">
        <v>0</v>
      </c>
      <c r="AE539" s="353">
        <v>0.1</v>
      </c>
      <c r="AF539" s="468">
        <v>0.1</v>
      </c>
      <c r="AG539" s="478">
        <f t="shared" si="161"/>
        <v>1</v>
      </c>
      <c r="AH539" s="110"/>
      <c r="AI539" s="110"/>
    </row>
    <row r="540" spans="1:35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X540" s="347" t="s">
        <v>218</v>
      </c>
      <c r="Y540" s="348" t="s">
        <v>26</v>
      </c>
      <c r="Z540" s="349" t="s">
        <v>29</v>
      </c>
      <c r="AA540" s="350" t="s">
        <v>96</v>
      </c>
      <c r="AB540" s="351" t="str">
        <f>AB541</f>
        <v>12 5 01 00162</v>
      </c>
      <c r="AC540" s="357"/>
      <c r="AD540" s="353">
        <f>AD542</f>
        <v>18972.100000000002</v>
      </c>
      <c r="AE540" s="353">
        <f>AE542</f>
        <v>18972.100000000002</v>
      </c>
      <c r="AF540" s="468">
        <f>AF542</f>
        <v>18971.599999999999</v>
      </c>
      <c r="AG540" s="478">
        <f t="shared" si="161"/>
        <v>0.99997364551103973</v>
      </c>
      <c r="AH540" s="110"/>
      <c r="AI540" s="110"/>
    </row>
    <row r="541" spans="1:35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X541" s="347" t="s">
        <v>41</v>
      </c>
      <c r="Y541" s="348" t="s">
        <v>26</v>
      </c>
      <c r="Z541" s="349" t="s">
        <v>29</v>
      </c>
      <c r="AA541" s="350" t="s">
        <v>96</v>
      </c>
      <c r="AB541" s="351" t="str">
        <f>AB542</f>
        <v>12 5 01 00162</v>
      </c>
      <c r="AC541" s="357">
        <v>100</v>
      </c>
      <c r="AD541" s="353">
        <f>AD542</f>
        <v>18972.100000000002</v>
      </c>
      <c r="AE541" s="353">
        <f>AE542</f>
        <v>18972.100000000002</v>
      </c>
      <c r="AF541" s="468">
        <f>AF542</f>
        <v>18971.599999999999</v>
      </c>
      <c r="AG541" s="478">
        <f t="shared" si="161"/>
        <v>0.99997364551103973</v>
      </c>
      <c r="AH541" s="110"/>
      <c r="AI541" s="110"/>
    </row>
    <row r="542" spans="1:3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X542" s="347" t="s">
        <v>97</v>
      </c>
      <c r="Y542" s="348" t="s">
        <v>26</v>
      </c>
      <c r="Z542" s="349" t="s">
        <v>29</v>
      </c>
      <c r="AA542" s="350" t="s">
        <v>96</v>
      </c>
      <c r="AB542" s="363" t="s">
        <v>215</v>
      </c>
      <c r="AC542" s="357">
        <v>120</v>
      </c>
      <c r="AD542" s="353">
        <f>16176+81.2+43.7+37.7+1039.2+1594.3</f>
        <v>18972.100000000002</v>
      </c>
      <c r="AE542" s="353">
        <f>16176+81.2+43.7+37.7+1039.2+1594.3</f>
        <v>18972.100000000002</v>
      </c>
      <c r="AF542" s="468">
        <v>18971.599999999999</v>
      </c>
      <c r="AG542" s="478">
        <f t="shared" si="161"/>
        <v>0.99997364551103973</v>
      </c>
      <c r="AH542" s="110"/>
      <c r="AI542" s="110"/>
    </row>
    <row r="543" spans="1:35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X543" s="347" t="s">
        <v>217</v>
      </c>
      <c r="Y543" s="348" t="s">
        <v>26</v>
      </c>
      <c r="Z543" s="349" t="s">
        <v>29</v>
      </c>
      <c r="AA543" s="350" t="s">
        <v>96</v>
      </c>
      <c r="AB543" s="351" t="str">
        <f>AB544</f>
        <v>12 5 01 00163</v>
      </c>
      <c r="AC543" s="357"/>
      <c r="AD543" s="353">
        <f>AD545</f>
        <v>11038.199999999999</v>
      </c>
      <c r="AE543" s="353">
        <f>AE545</f>
        <v>11038.199999999999</v>
      </c>
      <c r="AF543" s="468">
        <f>AF545</f>
        <v>11037.9</v>
      </c>
      <c r="AG543" s="478">
        <f t="shared" si="161"/>
        <v>0.99997282165570478</v>
      </c>
      <c r="AH543" s="110"/>
      <c r="AI543" s="110"/>
    </row>
    <row r="544" spans="1:35" ht="47.2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X544" s="347" t="s">
        <v>41</v>
      </c>
      <c r="Y544" s="348" t="s">
        <v>26</v>
      </c>
      <c r="Z544" s="349" t="s">
        <v>29</v>
      </c>
      <c r="AA544" s="350" t="s">
        <v>96</v>
      </c>
      <c r="AB544" s="351" t="str">
        <f>AB545</f>
        <v>12 5 01 00163</v>
      </c>
      <c r="AC544" s="357">
        <v>100</v>
      </c>
      <c r="AD544" s="353">
        <f>AD545</f>
        <v>11038.199999999999</v>
      </c>
      <c r="AE544" s="353">
        <f>AE545</f>
        <v>11038.199999999999</v>
      </c>
      <c r="AF544" s="468">
        <f>AF545</f>
        <v>11037.9</v>
      </c>
      <c r="AG544" s="478">
        <f t="shared" si="161"/>
        <v>0.99997282165570478</v>
      </c>
      <c r="AH544" s="110"/>
      <c r="AI544" s="110"/>
    </row>
    <row r="545" spans="1:3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X545" s="347" t="s">
        <v>97</v>
      </c>
      <c r="Y545" s="348" t="s">
        <v>26</v>
      </c>
      <c r="Z545" s="349" t="s">
        <v>29</v>
      </c>
      <c r="AA545" s="350" t="s">
        <v>96</v>
      </c>
      <c r="AB545" s="363" t="s">
        <v>216</v>
      </c>
      <c r="AC545" s="357">
        <v>120</v>
      </c>
      <c r="AD545" s="353">
        <f>9018.6+175.6+73.7+5.8+68.4-22+935.8+782.3</f>
        <v>11038.199999999999</v>
      </c>
      <c r="AE545" s="353">
        <f>9018.6+175.6+73.7+5.8+68.4-22+935.8+782.3</f>
        <v>11038.199999999999</v>
      </c>
      <c r="AF545" s="468">
        <v>11037.9</v>
      </c>
      <c r="AG545" s="478">
        <f t="shared" si="161"/>
        <v>0.99997282165570478</v>
      </c>
      <c r="AH545" s="110"/>
      <c r="AI545" s="110"/>
    </row>
    <row r="546" spans="1:35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X546" s="347" t="s">
        <v>572</v>
      </c>
      <c r="Y546" s="348" t="s">
        <v>26</v>
      </c>
      <c r="Z546" s="349" t="s">
        <v>29</v>
      </c>
      <c r="AA546" s="350" t="s">
        <v>96</v>
      </c>
      <c r="AB546" s="363" t="s">
        <v>573</v>
      </c>
      <c r="AC546" s="357"/>
      <c r="AD546" s="353">
        <f t="shared" ref="AD546:AE548" si="170">AD547</f>
        <v>124.5</v>
      </c>
      <c r="AE546" s="353">
        <f t="shared" si="170"/>
        <v>124.5</v>
      </c>
      <c r="AF546" s="468">
        <f t="shared" ref="AF546:AF548" si="171">AF547</f>
        <v>124.5</v>
      </c>
      <c r="AG546" s="478">
        <f t="shared" si="161"/>
        <v>1</v>
      </c>
      <c r="AH546" s="110"/>
      <c r="AI546" s="110"/>
    </row>
    <row r="547" spans="1:35" ht="78.7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X547" s="347" t="s">
        <v>432</v>
      </c>
      <c r="Y547" s="348" t="s">
        <v>26</v>
      </c>
      <c r="Z547" s="349" t="s">
        <v>29</v>
      </c>
      <c r="AA547" s="350" t="s">
        <v>96</v>
      </c>
      <c r="AB547" s="355" t="s">
        <v>574</v>
      </c>
      <c r="AC547" s="357"/>
      <c r="AD547" s="353">
        <f t="shared" si="170"/>
        <v>124.5</v>
      </c>
      <c r="AE547" s="353">
        <f t="shared" si="170"/>
        <v>124.5</v>
      </c>
      <c r="AF547" s="468">
        <f t="shared" si="171"/>
        <v>124.5</v>
      </c>
      <c r="AG547" s="478">
        <f t="shared" si="161"/>
        <v>1</v>
      </c>
      <c r="AH547" s="110"/>
      <c r="AI547" s="110"/>
    </row>
    <row r="548" spans="1:3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X548" s="347" t="s">
        <v>121</v>
      </c>
      <c r="Y548" s="348" t="s">
        <v>26</v>
      </c>
      <c r="Z548" s="349" t="s">
        <v>29</v>
      </c>
      <c r="AA548" s="350" t="s">
        <v>96</v>
      </c>
      <c r="AB548" s="355" t="s">
        <v>574</v>
      </c>
      <c r="AC548" s="357">
        <v>200</v>
      </c>
      <c r="AD548" s="353">
        <f t="shared" si="170"/>
        <v>124.5</v>
      </c>
      <c r="AE548" s="353">
        <f t="shared" si="170"/>
        <v>124.5</v>
      </c>
      <c r="AF548" s="468">
        <f t="shared" si="171"/>
        <v>124.5</v>
      </c>
      <c r="AG548" s="478">
        <f t="shared" si="161"/>
        <v>1</v>
      </c>
      <c r="AH548" s="110"/>
      <c r="AI548" s="110"/>
    </row>
    <row r="549" spans="1:35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X549" s="347" t="s">
        <v>52</v>
      </c>
      <c r="Y549" s="348" t="s">
        <v>26</v>
      </c>
      <c r="Z549" s="349" t="s">
        <v>29</v>
      </c>
      <c r="AA549" s="350" t="s">
        <v>96</v>
      </c>
      <c r="AB549" s="355" t="s">
        <v>574</v>
      </c>
      <c r="AC549" s="357">
        <v>240</v>
      </c>
      <c r="AD549" s="353">
        <f>46.5+18+60</f>
        <v>124.5</v>
      </c>
      <c r="AE549" s="353">
        <f>46.5+18+60</f>
        <v>124.5</v>
      </c>
      <c r="AF549" s="468">
        <v>124.5</v>
      </c>
      <c r="AG549" s="478">
        <f t="shared" si="161"/>
        <v>1</v>
      </c>
      <c r="AH549" s="110"/>
      <c r="AI549" s="110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X550" s="340" t="s">
        <v>4</v>
      </c>
      <c r="Y550" s="341" t="s">
        <v>26</v>
      </c>
      <c r="Z550" s="378" t="s">
        <v>8</v>
      </c>
      <c r="AA550" s="350"/>
      <c r="AB550" s="355"/>
      <c r="AC550" s="357"/>
      <c r="AD550" s="353">
        <f t="shared" ref="AD550:AE557" si="172">AD551</f>
        <v>9.3000000000000007</v>
      </c>
      <c r="AE550" s="353">
        <f t="shared" si="172"/>
        <v>9.3000000000000007</v>
      </c>
      <c r="AF550" s="468">
        <f t="shared" ref="AF550" si="173">AF551</f>
        <v>9.3000000000000007</v>
      </c>
      <c r="AG550" s="478">
        <f t="shared" si="161"/>
        <v>1</v>
      </c>
      <c r="AH550" s="110"/>
      <c r="AI550" s="110"/>
    </row>
    <row r="551" spans="1:3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X551" s="347" t="s">
        <v>38</v>
      </c>
      <c r="Y551" s="348" t="s">
        <v>26</v>
      </c>
      <c r="Z551" s="349" t="s">
        <v>8</v>
      </c>
      <c r="AA551" s="350" t="s">
        <v>22</v>
      </c>
      <c r="AB551" s="351"/>
      <c r="AC551" s="357"/>
      <c r="AD551" s="353">
        <f t="shared" si="172"/>
        <v>9.3000000000000007</v>
      </c>
      <c r="AE551" s="353">
        <f t="shared" si="172"/>
        <v>9.3000000000000007</v>
      </c>
      <c r="AF551" s="468">
        <f t="shared" ref="AF551" si="174">AF552</f>
        <v>9.3000000000000007</v>
      </c>
      <c r="AG551" s="478">
        <f t="shared" si="161"/>
        <v>1</v>
      </c>
      <c r="AH551" s="110"/>
      <c r="AI551" s="110"/>
    </row>
    <row r="552" spans="1:3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X552" s="354" t="s">
        <v>300</v>
      </c>
      <c r="Y552" s="348" t="s">
        <v>26</v>
      </c>
      <c r="Z552" s="349" t="s">
        <v>8</v>
      </c>
      <c r="AA552" s="350" t="s">
        <v>22</v>
      </c>
      <c r="AB552" s="355" t="s">
        <v>110</v>
      </c>
      <c r="AC552" s="357"/>
      <c r="AD552" s="353">
        <f t="shared" si="172"/>
        <v>9.3000000000000007</v>
      </c>
      <c r="AE552" s="353">
        <f t="shared" si="172"/>
        <v>9.3000000000000007</v>
      </c>
      <c r="AF552" s="468">
        <f t="shared" ref="AF552" si="175">AF553</f>
        <v>9.3000000000000007</v>
      </c>
      <c r="AG552" s="478">
        <f t="shared" si="161"/>
        <v>1</v>
      </c>
      <c r="AH552" s="110"/>
      <c r="AI552" s="110"/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X553" s="354" t="s">
        <v>304</v>
      </c>
      <c r="Y553" s="348" t="s">
        <v>26</v>
      </c>
      <c r="Z553" s="349" t="s">
        <v>8</v>
      </c>
      <c r="AA553" s="350" t="s">
        <v>22</v>
      </c>
      <c r="AB553" s="355" t="s">
        <v>111</v>
      </c>
      <c r="AC553" s="357"/>
      <c r="AD553" s="353">
        <f t="shared" si="172"/>
        <v>9.3000000000000007</v>
      </c>
      <c r="AE553" s="353">
        <f t="shared" si="172"/>
        <v>9.3000000000000007</v>
      </c>
      <c r="AF553" s="468">
        <f t="shared" ref="AF553" si="176">AF554</f>
        <v>9.3000000000000007</v>
      </c>
      <c r="AG553" s="478">
        <f t="shared" si="161"/>
        <v>1</v>
      </c>
      <c r="AH553" s="110"/>
      <c r="AI553" s="110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X554" s="403" t="s">
        <v>539</v>
      </c>
      <c r="Y554" s="348" t="s">
        <v>26</v>
      </c>
      <c r="Z554" s="349" t="s">
        <v>8</v>
      </c>
      <c r="AA554" s="350" t="s">
        <v>22</v>
      </c>
      <c r="AB554" s="355" t="s">
        <v>538</v>
      </c>
      <c r="AC554" s="357"/>
      <c r="AD554" s="353">
        <f t="shared" si="172"/>
        <v>9.3000000000000007</v>
      </c>
      <c r="AE554" s="353">
        <f t="shared" si="172"/>
        <v>9.3000000000000007</v>
      </c>
      <c r="AF554" s="468">
        <f t="shared" ref="AF554" si="177">AF555</f>
        <v>9.3000000000000007</v>
      </c>
      <c r="AG554" s="478">
        <f t="shared" si="161"/>
        <v>1</v>
      </c>
      <c r="AH554" s="110"/>
      <c r="AI554" s="110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X555" s="368" t="s">
        <v>305</v>
      </c>
      <c r="Y555" s="348" t="s">
        <v>26</v>
      </c>
      <c r="Z555" s="349" t="s">
        <v>8</v>
      </c>
      <c r="AA555" s="350" t="s">
        <v>22</v>
      </c>
      <c r="AB555" s="355" t="s">
        <v>540</v>
      </c>
      <c r="AC555" s="357"/>
      <c r="AD555" s="353">
        <f t="shared" si="172"/>
        <v>9.3000000000000007</v>
      </c>
      <c r="AE555" s="353">
        <f t="shared" si="172"/>
        <v>9.3000000000000007</v>
      </c>
      <c r="AF555" s="468">
        <f t="shared" ref="AF555" si="178">AF556</f>
        <v>9.3000000000000007</v>
      </c>
      <c r="AG555" s="478">
        <f t="shared" si="161"/>
        <v>1</v>
      </c>
      <c r="AH555" s="110"/>
      <c r="AI555" s="110"/>
    </row>
    <row r="556" spans="1:35" ht="47.2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X556" s="368" t="s">
        <v>326</v>
      </c>
      <c r="Y556" s="348" t="s">
        <v>26</v>
      </c>
      <c r="Z556" s="349" t="s">
        <v>8</v>
      </c>
      <c r="AA556" s="350" t="s">
        <v>22</v>
      </c>
      <c r="AB556" s="355" t="s">
        <v>541</v>
      </c>
      <c r="AC556" s="357"/>
      <c r="AD556" s="353">
        <f t="shared" si="172"/>
        <v>9.3000000000000007</v>
      </c>
      <c r="AE556" s="353">
        <f t="shared" si="172"/>
        <v>9.3000000000000007</v>
      </c>
      <c r="AF556" s="468">
        <f t="shared" ref="AF556" si="179">AF557</f>
        <v>9.3000000000000007</v>
      </c>
      <c r="AG556" s="478">
        <f t="shared" si="161"/>
        <v>1</v>
      </c>
      <c r="AH556" s="110"/>
      <c r="AI556" s="110"/>
    </row>
    <row r="557" spans="1:3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X557" s="347" t="s">
        <v>98</v>
      </c>
      <c r="Y557" s="348" t="s">
        <v>26</v>
      </c>
      <c r="Z557" s="349" t="s">
        <v>8</v>
      </c>
      <c r="AA557" s="350" t="s">
        <v>22</v>
      </c>
      <c r="AB557" s="355" t="s">
        <v>541</v>
      </c>
      <c r="AC557" s="357">
        <v>300</v>
      </c>
      <c r="AD557" s="353">
        <f t="shared" si="172"/>
        <v>9.3000000000000007</v>
      </c>
      <c r="AE557" s="353">
        <f t="shared" si="172"/>
        <v>9.3000000000000007</v>
      </c>
      <c r="AF557" s="468">
        <f t="shared" ref="AF557" si="180">AF558</f>
        <v>9.3000000000000007</v>
      </c>
      <c r="AG557" s="478">
        <f t="shared" si="161"/>
        <v>1</v>
      </c>
      <c r="AH557" s="110"/>
      <c r="AI557" s="110"/>
    </row>
    <row r="558" spans="1:3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X558" s="347" t="s">
        <v>40</v>
      </c>
      <c r="Y558" s="348" t="s">
        <v>26</v>
      </c>
      <c r="Z558" s="349" t="s">
        <v>8</v>
      </c>
      <c r="AA558" s="350" t="s">
        <v>22</v>
      </c>
      <c r="AB558" s="355" t="s">
        <v>541</v>
      </c>
      <c r="AC558" s="357">
        <v>320</v>
      </c>
      <c r="AD558" s="353">
        <v>9.3000000000000007</v>
      </c>
      <c r="AE558" s="353">
        <v>9.3000000000000007</v>
      </c>
      <c r="AF558" s="468">
        <v>9.3000000000000007</v>
      </c>
      <c r="AG558" s="478">
        <f t="shared" si="161"/>
        <v>1</v>
      </c>
      <c r="AH558" s="110"/>
      <c r="AI558" s="110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X559" s="340" t="s">
        <v>95</v>
      </c>
      <c r="Y559" s="348" t="s">
        <v>26</v>
      </c>
      <c r="Z559" s="387" t="s">
        <v>36</v>
      </c>
      <c r="AA559" s="400"/>
      <c r="AB559" s="344"/>
      <c r="AC559" s="345"/>
      <c r="AD559" s="346">
        <f t="shared" ref="AD559:AF565" si="181">AD560</f>
        <v>747.3</v>
      </c>
      <c r="AE559" s="346">
        <f t="shared" si="181"/>
        <v>747.3</v>
      </c>
      <c r="AF559" s="467">
        <f t="shared" si="181"/>
        <v>747.3</v>
      </c>
      <c r="AG559" s="477">
        <f t="shared" si="161"/>
        <v>1</v>
      </c>
      <c r="AH559" s="110"/>
      <c r="AI559" s="110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X560" s="347" t="s">
        <v>56</v>
      </c>
      <c r="Y560" s="348" t="s">
        <v>26</v>
      </c>
      <c r="Z560" s="349">
        <v>10</v>
      </c>
      <c r="AA560" s="350" t="s">
        <v>29</v>
      </c>
      <c r="AB560" s="351"/>
      <c r="AC560" s="393"/>
      <c r="AD560" s="353">
        <f t="shared" si="181"/>
        <v>747.3</v>
      </c>
      <c r="AE560" s="353">
        <f t="shared" si="181"/>
        <v>747.3</v>
      </c>
      <c r="AF560" s="468">
        <f t="shared" si="181"/>
        <v>747.3</v>
      </c>
      <c r="AG560" s="478">
        <f t="shared" si="161"/>
        <v>1</v>
      </c>
      <c r="AH560" s="110"/>
      <c r="AI560" s="110"/>
    </row>
    <row r="561" spans="1:3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X561" s="354" t="s">
        <v>300</v>
      </c>
      <c r="Y561" s="348" t="s">
        <v>26</v>
      </c>
      <c r="Z561" s="349">
        <v>10</v>
      </c>
      <c r="AA561" s="350" t="s">
        <v>29</v>
      </c>
      <c r="AB561" s="355" t="s">
        <v>110</v>
      </c>
      <c r="AC561" s="393"/>
      <c r="AD561" s="353">
        <f t="shared" si="181"/>
        <v>747.3</v>
      </c>
      <c r="AE561" s="353">
        <f t="shared" si="181"/>
        <v>747.3</v>
      </c>
      <c r="AF561" s="468">
        <f t="shared" si="181"/>
        <v>747.3</v>
      </c>
      <c r="AG561" s="478">
        <f t="shared" si="161"/>
        <v>1</v>
      </c>
      <c r="AH561" s="110"/>
      <c r="AI561" s="110"/>
    </row>
    <row r="562" spans="1:3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X562" s="354" t="s">
        <v>301</v>
      </c>
      <c r="Y562" s="348" t="s">
        <v>26</v>
      </c>
      <c r="Z562" s="349">
        <v>10</v>
      </c>
      <c r="AA562" s="350" t="s">
        <v>29</v>
      </c>
      <c r="AB562" s="355" t="s">
        <v>119</v>
      </c>
      <c r="AC562" s="393"/>
      <c r="AD562" s="353">
        <f t="shared" si="181"/>
        <v>747.3</v>
      </c>
      <c r="AE562" s="353">
        <f t="shared" si="181"/>
        <v>747.3</v>
      </c>
      <c r="AF562" s="468">
        <f t="shared" si="181"/>
        <v>747.3</v>
      </c>
      <c r="AG562" s="478">
        <f t="shared" si="161"/>
        <v>1</v>
      </c>
      <c r="AH562" s="110"/>
      <c r="AI562" s="110"/>
    </row>
    <row r="563" spans="1:35" ht="34.9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X563" s="354" t="s">
        <v>498</v>
      </c>
      <c r="Y563" s="348" t="s">
        <v>26</v>
      </c>
      <c r="Z563" s="349">
        <v>10</v>
      </c>
      <c r="AA563" s="350" t="s">
        <v>29</v>
      </c>
      <c r="AB563" s="355" t="s">
        <v>497</v>
      </c>
      <c r="AC563" s="393"/>
      <c r="AD563" s="353">
        <f t="shared" si="181"/>
        <v>747.3</v>
      </c>
      <c r="AE563" s="353">
        <f t="shared" si="181"/>
        <v>747.3</v>
      </c>
      <c r="AF563" s="468">
        <f t="shared" si="181"/>
        <v>747.3</v>
      </c>
      <c r="AG563" s="478">
        <f t="shared" si="161"/>
        <v>1</v>
      </c>
      <c r="AH563" s="110"/>
      <c r="AI563" s="110"/>
    </row>
    <row r="564" spans="1:35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X564" s="368" t="s">
        <v>303</v>
      </c>
      <c r="Y564" s="348" t="s">
        <v>26</v>
      </c>
      <c r="Z564" s="349">
        <v>10</v>
      </c>
      <c r="AA564" s="350" t="s">
        <v>29</v>
      </c>
      <c r="AB564" s="355" t="s">
        <v>496</v>
      </c>
      <c r="AC564" s="393"/>
      <c r="AD564" s="353">
        <f t="shared" si="181"/>
        <v>747.3</v>
      </c>
      <c r="AE564" s="353">
        <f t="shared" si="181"/>
        <v>747.3</v>
      </c>
      <c r="AF564" s="468">
        <f t="shared" si="181"/>
        <v>747.3</v>
      </c>
      <c r="AG564" s="478">
        <f t="shared" si="161"/>
        <v>1</v>
      </c>
      <c r="AH564" s="110"/>
      <c r="AI564" s="110"/>
    </row>
    <row r="565" spans="1:3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X565" s="347" t="s">
        <v>98</v>
      </c>
      <c r="Y565" s="348" t="s">
        <v>26</v>
      </c>
      <c r="Z565" s="349">
        <v>10</v>
      </c>
      <c r="AA565" s="350" t="s">
        <v>29</v>
      </c>
      <c r="AB565" s="355" t="s">
        <v>496</v>
      </c>
      <c r="AC565" s="357">
        <v>300</v>
      </c>
      <c r="AD565" s="353">
        <f t="shared" si="181"/>
        <v>747.3</v>
      </c>
      <c r="AE565" s="353">
        <f t="shared" si="181"/>
        <v>747.3</v>
      </c>
      <c r="AF565" s="468">
        <f t="shared" si="181"/>
        <v>747.3</v>
      </c>
      <c r="AG565" s="478">
        <f t="shared" si="161"/>
        <v>1</v>
      </c>
      <c r="AH565" s="110"/>
      <c r="AI565" s="110"/>
    </row>
    <row r="566" spans="1:3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X566" s="347" t="s">
        <v>40</v>
      </c>
      <c r="Y566" s="348" t="s">
        <v>26</v>
      </c>
      <c r="Z566" s="349">
        <v>10</v>
      </c>
      <c r="AA566" s="350" t="s">
        <v>29</v>
      </c>
      <c r="AB566" s="355" t="s">
        <v>496</v>
      </c>
      <c r="AC566" s="357">
        <v>320</v>
      </c>
      <c r="AD566" s="353">
        <f>896.6+60.9-210.2</f>
        <v>747.3</v>
      </c>
      <c r="AE566" s="353">
        <f>896.6+60.9-210.2</f>
        <v>747.3</v>
      </c>
      <c r="AF566" s="468">
        <v>747.3</v>
      </c>
      <c r="AG566" s="478">
        <f t="shared" si="161"/>
        <v>1</v>
      </c>
      <c r="AH566" s="110"/>
      <c r="AI566" s="110"/>
    </row>
    <row r="567" spans="1:3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X567" s="340" t="s">
        <v>438</v>
      </c>
      <c r="Y567" s="341" t="s">
        <v>60</v>
      </c>
      <c r="Z567" s="401"/>
      <c r="AA567" s="416"/>
      <c r="AB567" s="351"/>
      <c r="AC567" s="352"/>
      <c r="AD567" s="346">
        <f>AD568+AD605+AD597</f>
        <v>264403.20000000001</v>
      </c>
      <c r="AE567" s="346">
        <f t="shared" ref="AE567:AF567" si="182">AE568+AE605+AE597</f>
        <v>264403.20000000001</v>
      </c>
      <c r="AF567" s="346">
        <f t="shared" si="182"/>
        <v>264061.09999999998</v>
      </c>
      <c r="AG567" s="477">
        <f t="shared" ref="AG567:AG630" si="183">AF567/AE567</f>
        <v>0.99870614273957337</v>
      </c>
      <c r="AH567" s="110"/>
      <c r="AI567" s="110"/>
    </row>
    <row r="568" spans="1:3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X568" s="340" t="s">
        <v>25</v>
      </c>
      <c r="Y568" s="341" t="s">
        <v>60</v>
      </c>
      <c r="Z568" s="342" t="s">
        <v>29</v>
      </c>
      <c r="AA568" s="400"/>
      <c r="AB568" s="344"/>
      <c r="AC568" s="345"/>
      <c r="AD568" s="346">
        <f>AD569</f>
        <v>30301.5</v>
      </c>
      <c r="AE568" s="346">
        <f>AE569</f>
        <v>30301.5</v>
      </c>
      <c r="AF568" s="467">
        <f t="shared" ref="AD568:AF570" si="184">AF569</f>
        <v>29961.300000000003</v>
      </c>
      <c r="AG568" s="478">
        <f t="shared" si="183"/>
        <v>0.98877283302806807</v>
      </c>
      <c r="AH568" s="110"/>
      <c r="AI568" s="110"/>
    </row>
    <row r="569" spans="1:3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X569" s="347" t="s">
        <v>14</v>
      </c>
      <c r="Y569" s="348" t="s">
        <v>60</v>
      </c>
      <c r="Z569" s="349" t="s">
        <v>29</v>
      </c>
      <c r="AA569" s="350">
        <v>13</v>
      </c>
      <c r="AB569" s="351"/>
      <c r="AC569" s="352"/>
      <c r="AD569" s="353">
        <f>AD570+AD593</f>
        <v>30301.5</v>
      </c>
      <c r="AE569" s="353">
        <f>AE570+AE593</f>
        <v>30301.5</v>
      </c>
      <c r="AF569" s="468">
        <f>AF570+AF593</f>
        <v>29961.300000000003</v>
      </c>
      <c r="AG569" s="478">
        <f t="shared" si="183"/>
        <v>0.98877283302806807</v>
      </c>
      <c r="AH569" s="110"/>
      <c r="AI569" s="110"/>
    </row>
    <row r="570" spans="1:3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X570" s="354" t="s">
        <v>187</v>
      </c>
      <c r="Y570" s="348" t="s">
        <v>60</v>
      </c>
      <c r="Z570" s="349" t="s">
        <v>29</v>
      </c>
      <c r="AA570" s="350">
        <v>13</v>
      </c>
      <c r="AB570" s="355" t="s">
        <v>113</v>
      </c>
      <c r="AC570" s="357"/>
      <c r="AD570" s="353">
        <f t="shared" si="184"/>
        <v>29092.6</v>
      </c>
      <c r="AE570" s="353">
        <f t="shared" si="184"/>
        <v>29092.6</v>
      </c>
      <c r="AF570" s="468">
        <f t="shared" si="184"/>
        <v>28752.400000000001</v>
      </c>
      <c r="AG570" s="478">
        <f t="shared" si="183"/>
        <v>0.98830630469603964</v>
      </c>
      <c r="AH570" s="110"/>
      <c r="AI570" s="110"/>
    </row>
    <row r="571" spans="1:3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X571" s="369" t="s">
        <v>568</v>
      </c>
      <c r="Y571" s="348" t="s">
        <v>60</v>
      </c>
      <c r="Z571" s="349" t="s">
        <v>29</v>
      </c>
      <c r="AA571" s="350">
        <v>13</v>
      </c>
      <c r="AB571" s="355" t="s">
        <v>114</v>
      </c>
      <c r="AC571" s="357"/>
      <c r="AD571" s="353">
        <f>AD572+AD576+AD582</f>
        <v>29092.6</v>
      </c>
      <c r="AE571" s="353">
        <f>AE572+AE576+AE582</f>
        <v>29092.6</v>
      </c>
      <c r="AF571" s="468">
        <f>AF572+AF576+AF582</f>
        <v>28752.400000000001</v>
      </c>
      <c r="AG571" s="478">
        <f t="shared" si="183"/>
        <v>0.98830630469603964</v>
      </c>
      <c r="AH571" s="110"/>
      <c r="AI571" s="110"/>
    </row>
    <row r="572" spans="1:35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X572" s="368" t="s">
        <v>183</v>
      </c>
      <c r="Y572" s="348" t="s">
        <v>60</v>
      </c>
      <c r="Z572" s="349" t="s">
        <v>29</v>
      </c>
      <c r="AA572" s="350">
        <v>13</v>
      </c>
      <c r="AB572" s="355" t="s">
        <v>184</v>
      </c>
      <c r="AC572" s="357"/>
      <c r="AD572" s="353">
        <f t="shared" ref="AD572:AF574" si="185">AD573</f>
        <v>2323.9</v>
      </c>
      <c r="AE572" s="353">
        <f t="shared" si="185"/>
        <v>2323.9</v>
      </c>
      <c r="AF572" s="468">
        <f t="shared" si="185"/>
        <v>2157.6</v>
      </c>
      <c r="AG572" s="478">
        <f t="shared" si="183"/>
        <v>0.92843926158612666</v>
      </c>
      <c r="AH572" s="110"/>
      <c r="AI572" s="110"/>
    </row>
    <row r="573" spans="1:35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X573" s="368" t="s">
        <v>185</v>
      </c>
      <c r="Y573" s="348" t="s">
        <v>60</v>
      </c>
      <c r="Z573" s="349" t="s">
        <v>29</v>
      </c>
      <c r="AA573" s="350">
        <v>13</v>
      </c>
      <c r="AB573" s="355" t="s">
        <v>186</v>
      </c>
      <c r="AC573" s="352"/>
      <c r="AD573" s="353">
        <f>AD574</f>
        <v>2323.9</v>
      </c>
      <c r="AE573" s="353">
        <f>AE574</f>
        <v>2323.9</v>
      </c>
      <c r="AF573" s="468">
        <f t="shared" si="185"/>
        <v>2157.6</v>
      </c>
      <c r="AG573" s="478">
        <f t="shared" si="183"/>
        <v>0.92843926158612666</v>
      </c>
      <c r="AH573" s="110"/>
      <c r="AI573" s="110"/>
    </row>
    <row r="574" spans="1:3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X574" s="347" t="s">
        <v>121</v>
      </c>
      <c r="Y574" s="348" t="s">
        <v>60</v>
      </c>
      <c r="Z574" s="349" t="s">
        <v>29</v>
      </c>
      <c r="AA574" s="350">
        <v>13</v>
      </c>
      <c r="AB574" s="355" t="s">
        <v>186</v>
      </c>
      <c r="AC574" s="357">
        <v>200</v>
      </c>
      <c r="AD574" s="353">
        <f t="shared" si="185"/>
        <v>2323.9</v>
      </c>
      <c r="AE574" s="353">
        <f t="shared" si="185"/>
        <v>2323.9</v>
      </c>
      <c r="AF574" s="468">
        <f t="shared" si="185"/>
        <v>2157.6</v>
      </c>
      <c r="AG574" s="478">
        <f t="shared" si="183"/>
        <v>0.92843926158612666</v>
      </c>
      <c r="AH574" s="110"/>
      <c r="AI574" s="110"/>
    </row>
    <row r="575" spans="1:35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X575" s="347" t="s">
        <v>52</v>
      </c>
      <c r="Y575" s="348" t="s">
        <v>60</v>
      </c>
      <c r="Z575" s="349" t="s">
        <v>29</v>
      </c>
      <c r="AA575" s="350">
        <v>13</v>
      </c>
      <c r="AB575" s="355" t="s">
        <v>186</v>
      </c>
      <c r="AC575" s="357">
        <v>240</v>
      </c>
      <c r="AD575" s="353">
        <f>1900+820-180-180-36.1</f>
        <v>2323.9</v>
      </c>
      <c r="AE575" s="353">
        <f>1900+820-180-180-36.1</f>
        <v>2323.9</v>
      </c>
      <c r="AF575" s="468">
        <v>2157.6</v>
      </c>
      <c r="AG575" s="478">
        <f t="shared" si="183"/>
        <v>0.92843926158612666</v>
      </c>
      <c r="AH575" s="110"/>
      <c r="AI575" s="110"/>
    </row>
    <row r="576" spans="1:35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X576" s="368" t="s">
        <v>188</v>
      </c>
      <c r="Y576" s="348" t="s">
        <v>60</v>
      </c>
      <c r="Z576" s="349" t="s">
        <v>29</v>
      </c>
      <c r="AA576" s="350">
        <v>13</v>
      </c>
      <c r="AB576" s="355" t="s">
        <v>189</v>
      </c>
      <c r="AC576" s="370"/>
      <c r="AD576" s="353">
        <f>AD577</f>
        <v>1218.4000000000001</v>
      </c>
      <c r="AE576" s="353">
        <f>AE577</f>
        <v>1218.4000000000001</v>
      </c>
      <c r="AF576" s="468">
        <f>AF577</f>
        <v>1132.4000000000001</v>
      </c>
      <c r="AG576" s="478">
        <f t="shared" si="183"/>
        <v>0.92941562705187131</v>
      </c>
      <c r="AH576" s="110"/>
      <c r="AI576" s="110"/>
    </row>
    <row r="577" spans="1:35" ht="54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X577" s="368" t="s">
        <v>663</v>
      </c>
      <c r="Y577" s="348" t="s">
        <v>60</v>
      </c>
      <c r="Z577" s="349" t="s">
        <v>29</v>
      </c>
      <c r="AA577" s="350">
        <v>13</v>
      </c>
      <c r="AB577" s="355" t="s">
        <v>662</v>
      </c>
      <c r="AC577" s="370"/>
      <c r="AD577" s="353">
        <f>AD578+AD580</f>
        <v>1218.4000000000001</v>
      </c>
      <c r="AE577" s="353">
        <f>AE578+AE580</f>
        <v>1218.4000000000001</v>
      </c>
      <c r="AF577" s="468">
        <f>AF578+AF580</f>
        <v>1132.4000000000001</v>
      </c>
      <c r="AG577" s="478">
        <f t="shared" si="183"/>
        <v>0.92941562705187131</v>
      </c>
      <c r="AH577" s="110"/>
      <c r="AI577" s="110"/>
    </row>
    <row r="578" spans="1:35" ht="47.2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X578" s="347" t="s">
        <v>41</v>
      </c>
      <c r="Y578" s="348" t="s">
        <v>60</v>
      </c>
      <c r="Z578" s="349" t="s">
        <v>29</v>
      </c>
      <c r="AA578" s="350">
        <v>13</v>
      </c>
      <c r="AB578" s="355" t="s">
        <v>662</v>
      </c>
      <c r="AC578" s="370">
        <v>100</v>
      </c>
      <c r="AD578" s="353">
        <f>AD579</f>
        <v>1135.9000000000001</v>
      </c>
      <c r="AE578" s="353">
        <f>AE579</f>
        <v>1135.9000000000001</v>
      </c>
      <c r="AF578" s="468">
        <f>AF579</f>
        <v>1132.4000000000001</v>
      </c>
      <c r="AG578" s="478">
        <f t="shared" si="183"/>
        <v>0.9969187428470816</v>
      </c>
      <c r="AH578" s="110"/>
      <c r="AI578" s="110"/>
    </row>
    <row r="579" spans="1:3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X579" s="358" t="s">
        <v>97</v>
      </c>
      <c r="Y579" s="371" t="s">
        <v>60</v>
      </c>
      <c r="Z579" s="349" t="s">
        <v>29</v>
      </c>
      <c r="AA579" s="350">
        <v>13</v>
      </c>
      <c r="AB579" s="355" t="s">
        <v>662</v>
      </c>
      <c r="AC579" s="370">
        <v>120</v>
      </c>
      <c r="AD579" s="353">
        <f>1420-0.1-284</f>
        <v>1135.9000000000001</v>
      </c>
      <c r="AE579" s="353">
        <f>1420-0.1-284</f>
        <v>1135.9000000000001</v>
      </c>
      <c r="AF579" s="468">
        <v>1132.4000000000001</v>
      </c>
      <c r="AG579" s="478">
        <f t="shared" si="183"/>
        <v>0.9969187428470816</v>
      </c>
      <c r="AH579" s="110"/>
      <c r="AI579" s="110"/>
    </row>
    <row r="580" spans="1:3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X580" s="358" t="s">
        <v>121</v>
      </c>
      <c r="Y580" s="371" t="s">
        <v>60</v>
      </c>
      <c r="Z580" s="349" t="s">
        <v>29</v>
      </c>
      <c r="AA580" s="350">
        <v>13</v>
      </c>
      <c r="AB580" s="355" t="s">
        <v>662</v>
      </c>
      <c r="AC580" s="370">
        <v>200</v>
      </c>
      <c r="AD580" s="353">
        <f>AD581</f>
        <v>82.5</v>
      </c>
      <c r="AE580" s="353">
        <f>AE581</f>
        <v>82.5</v>
      </c>
      <c r="AF580" s="468">
        <f>AF581</f>
        <v>0</v>
      </c>
      <c r="AG580" s="478">
        <f t="shared" si="183"/>
        <v>0</v>
      </c>
      <c r="AH580" s="110"/>
      <c r="AI580" s="110"/>
    </row>
    <row r="581" spans="1:35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X581" s="358" t="s">
        <v>52</v>
      </c>
      <c r="Y581" s="371" t="s">
        <v>60</v>
      </c>
      <c r="Z581" s="349" t="s">
        <v>29</v>
      </c>
      <c r="AA581" s="350">
        <v>13</v>
      </c>
      <c r="AB581" s="355" t="s">
        <v>662</v>
      </c>
      <c r="AC581" s="370">
        <v>240</v>
      </c>
      <c r="AD581" s="353">
        <f>103+0.1-20.6</f>
        <v>82.5</v>
      </c>
      <c r="AE581" s="353">
        <f>103+0.1-20.6</f>
        <v>82.5</v>
      </c>
      <c r="AF581" s="468">
        <v>0</v>
      </c>
      <c r="AG581" s="478">
        <f t="shared" si="183"/>
        <v>0</v>
      </c>
      <c r="AH581" s="110"/>
      <c r="AI581" s="110"/>
    </row>
    <row r="582" spans="1:35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X582" s="354" t="s">
        <v>339</v>
      </c>
      <c r="Y582" s="348" t="s">
        <v>60</v>
      </c>
      <c r="Z582" s="349" t="s">
        <v>29</v>
      </c>
      <c r="AA582" s="350">
        <v>13</v>
      </c>
      <c r="AB582" s="355" t="s">
        <v>491</v>
      </c>
      <c r="AC582" s="357"/>
      <c r="AD582" s="353">
        <f>AD583</f>
        <v>25550.3</v>
      </c>
      <c r="AE582" s="353">
        <f>AE583</f>
        <v>25550.3</v>
      </c>
      <c r="AF582" s="468">
        <f>AF583</f>
        <v>25462.400000000001</v>
      </c>
      <c r="AG582" s="478">
        <f t="shared" si="183"/>
        <v>0.99655972728304565</v>
      </c>
      <c r="AH582" s="110"/>
      <c r="AI582" s="110"/>
    </row>
    <row r="583" spans="1:3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X583" s="354" t="s">
        <v>342</v>
      </c>
      <c r="Y583" s="348" t="s">
        <v>60</v>
      </c>
      <c r="Z583" s="349" t="s">
        <v>29</v>
      </c>
      <c r="AA583" s="350">
        <v>13</v>
      </c>
      <c r="AB583" s="355" t="s">
        <v>492</v>
      </c>
      <c r="AC583" s="357"/>
      <c r="AD583" s="353">
        <f>AD584+AD587+AD590</f>
        <v>25550.3</v>
      </c>
      <c r="AE583" s="353">
        <f>AE584+AE587+AE590</f>
        <v>25550.3</v>
      </c>
      <c r="AF583" s="468">
        <f>AF584+AF587+AF590</f>
        <v>25462.400000000001</v>
      </c>
      <c r="AG583" s="478">
        <f t="shared" si="183"/>
        <v>0.99655972728304565</v>
      </c>
      <c r="AH583" s="110"/>
      <c r="AI583" s="110"/>
    </row>
    <row r="584" spans="1:35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X584" s="354" t="s">
        <v>208</v>
      </c>
      <c r="Y584" s="348" t="s">
        <v>60</v>
      </c>
      <c r="Z584" s="349" t="s">
        <v>29</v>
      </c>
      <c r="AA584" s="350">
        <v>13</v>
      </c>
      <c r="AB584" s="355" t="s">
        <v>493</v>
      </c>
      <c r="AC584" s="357"/>
      <c r="AD584" s="353">
        <f t="shared" ref="AD584:AF585" si="186">AD585</f>
        <v>1874.6</v>
      </c>
      <c r="AE584" s="353">
        <f t="shared" si="186"/>
        <v>1874.6</v>
      </c>
      <c r="AF584" s="468">
        <f t="shared" si="186"/>
        <v>1817.4</v>
      </c>
      <c r="AG584" s="478">
        <f t="shared" si="183"/>
        <v>0.96948682385575602</v>
      </c>
      <c r="AH584" s="110"/>
      <c r="AI584" s="110"/>
    </row>
    <row r="585" spans="1:3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X585" s="347" t="s">
        <v>121</v>
      </c>
      <c r="Y585" s="348" t="s">
        <v>60</v>
      </c>
      <c r="Z585" s="349" t="s">
        <v>29</v>
      </c>
      <c r="AA585" s="350">
        <v>13</v>
      </c>
      <c r="AB585" s="355" t="s">
        <v>493</v>
      </c>
      <c r="AC585" s="357">
        <v>200</v>
      </c>
      <c r="AD585" s="353">
        <f t="shared" si="186"/>
        <v>1874.6</v>
      </c>
      <c r="AE585" s="353">
        <f t="shared" si="186"/>
        <v>1874.6</v>
      </c>
      <c r="AF585" s="468">
        <f t="shared" si="186"/>
        <v>1817.4</v>
      </c>
      <c r="AG585" s="478">
        <f t="shared" si="183"/>
        <v>0.96948682385575602</v>
      </c>
      <c r="AH585" s="110"/>
      <c r="AI585" s="110"/>
    </row>
    <row r="586" spans="1:35" ht="31.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X586" s="347" t="s">
        <v>52</v>
      </c>
      <c r="Y586" s="348" t="s">
        <v>60</v>
      </c>
      <c r="Z586" s="349" t="s">
        <v>29</v>
      </c>
      <c r="AA586" s="350">
        <v>13</v>
      </c>
      <c r="AB586" s="355" t="s">
        <v>493</v>
      </c>
      <c r="AC586" s="357">
        <v>240</v>
      </c>
      <c r="AD586" s="353">
        <f>1693.1+210-28.5</f>
        <v>1874.6</v>
      </c>
      <c r="AE586" s="353">
        <f>1693.1+210-28.5</f>
        <v>1874.6</v>
      </c>
      <c r="AF586" s="468">
        <v>1817.4</v>
      </c>
      <c r="AG586" s="478">
        <f t="shared" si="183"/>
        <v>0.96948682385575602</v>
      </c>
      <c r="AH586" s="110"/>
      <c r="AI586" s="110"/>
    </row>
    <row r="587" spans="1:35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X587" s="347" t="s">
        <v>209</v>
      </c>
      <c r="Y587" s="348" t="s">
        <v>60</v>
      </c>
      <c r="Z587" s="349" t="s">
        <v>29</v>
      </c>
      <c r="AA587" s="350">
        <v>13</v>
      </c>
      <c r="AB587" s="351" t="str">
        <f>AB588</f>
        <v>12 1 04 00132</v>
      </c>
      <c r="AC587" s="357"/>
      <c r="AD587" s="353">
        <f>AD589</f>
        <v>7936</v>
      </c>
      <c r="AE587" s="353">
        <f>AE589</f>
        <v>7936</v>
      </c>
      <c r="AF587" s="468">
        <f>AF589</f>
        <v>7928.1</v>
      </c>
      <c r="AG587" s="478">
        <f t="shared" si="183"/>
        <v>0.9990045362903226</v>
      </c>
      <c r="AH587" s="110"/>
      <c r="AI587" s="110"/>
    </row>
    <row r="588" spans="1:35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X588" s="347" t="s">
        <v>41</v>
      </c>
      <c r="Y588" s="348" t="s">
        <v>60</v>
      </c>
      <c r="Z588" s="349" t="s">
        <v>29</v>
      </c>
      <c r="AA588" s="350">
        <v>13</v>
      </c>
      <c r="AB588" s="351" t="str">
        <f>AB589</f>
        <v>12 1 04 00132</v>
      </c>
      <c r="AC588" s="357">
        <v>100</v>
      </c>
      <c r="AD588" s="353">
        <f>AD589</f>
        <v>7936</v>
      </c>
      <c r="AE588" s="353">
        <f>AE589</f>
        <v>7936</v>
      </c>
      <c r="AF588" s="468">
        <f>AF589</f>
        <v>7928.1</v>
      </c>
      <c r="AG588" s="478">
        <f t="shared" si="183"/>
        <v>0.9990045362903226</v>
      </c>
      <c r="AH588" s="110"/>
      <c r="AI588" s="110"/>
    </row>
    <row r="589" spans="1:3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X589" s="347" t="s">
        <v>97</v>
      </c>
      <c r="Y589" s="348" t="s">
        <v>60</v>
      </c>
      <c r="Z589" s="349" t="s">
        <v>29</v>
      </c>
      <c r="AA589" s="350">
        <v>13</v>
      </c>
      <c r="AB589" s="355" t="s">
        <v>494</v>
      </c>
      <c r="AC589" s="357">
        <v>120</v>
      </c>
      <c r="AD589" s="353">
        <f>7907.5+28.5</f>
        <v>7936</v>
      </c>
      <c r="AE589" s="353">
        <f>7907.5+28.5</f>
        <v>7936</v>
      </c>
      <c r="AF589" s="468">
        <v>7928.1</v>
      </c>
      <c r="AG589" s="478">
        <f t="shared" si="183"/>
        <v>0.9990045362903226</v>
      </c>
      <c r="AH589" s="110"/>
      <c r="AI589" s="110"/>
    </row>
    <row r="590" spans="1:35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X590" s="347" t="s">
        <v>210</v>
      </c>
      <c r="Y590" s="348" t="s">
        <v>60</v>
      </c>
      <c r="Z590" s="349" t="s">
        <v>29</v>
      </c>
      <c r="AA590" s="350">
        <v>13</v>
      </c>
      <c r="AB590" s="351" t="str">
        <f>AB591</f>
        <v>12 1 04 00133</v>
      </c>
      <c r="AC590" s="357"/>
      <c r="AD590" s="353">
        <f>AD592</f>
        <v>15739.699999999999</v>
      </c>
      <c r="AE590" s="353">
        <f>AE592</f>
        <v>15739.699999999999</v>
      </c>
      <c r="AF590" s="468">
        <f>AF592</f>
        <v>15716.9</v>
      </c>
      <c r="AG590" s="478">
        <f t="shared" si="183"/>
        <v>0.9985514336359651</v>
      </c>
      <c r="AH590" s="110"/>
      <c r="AI590" s="110"/>
    </row>
    <row r="591" spans="1:35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X591" s="347" t="s">
        <v>41</v>
      </c>
      <c r="Y591" s="348" t="s">
        <v>60</v>
      </c>
      <c r="Z591" s="349" t="s">
        <v>29</v>
      </c>
      <c r="AA591" s="350">
        <v>13</v>
      </c>
      <c r="AB591" s="351" t="str">
        <f>AB592</f>
        <v>12 1 04 00133</v>
      </c>
      <c r="AC591" s="357">
        <v>100</v>
      </c>
      <c r="AD591" s="353">
        <f>AD592</f>
        <v>15739.699999999999</v>
      </c>
      <c r="AE591" s="353">
        <f>AE592</f>
        <v>15739.699999999999</v>
      </c>
      <c r="AF591" s="468">
        <f>AF592</f>
        <v>15716.9</v>
      </c>
      <c r="AG591" s="478">
        <f t="shared" si="183"/>
        <v>0.9985514336359651</v>
      </c>
      <c r="AH591" s="110"/>
      <c r="AI591" s="110"/>
    </row>
    <row r="592" spans="1:3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X592" s="347" t="s">
        <v>97</v>
      </c>
      <c r="Y592" s="348" t="s">
        <v>60</v>
      </c>
      <c r="Z592" s="349" t="s">
        <v>29</v>
      </c>
      <c r="AA592" s="350">
        <v>13</v>
      </c>
      <c r="AB592" s="355" t="s">
        <v>495</v>
      </c>
      <c r="AC592" s="357">
        <v>120</v>
      </c>
      <c r="AD592" s="353">
        <f>14899.3+351.9+488.5</f>
        <v>15739.699999999999</v>
      </c>
      <c r="AE592" s="353">
        <f>14899.3+351.9+488.5</f>
        <v>15739.699999999999</v>
      </c>
      <c r="AF592" s="468">
        <v>15716.9</v>
      </c>
      <c r="AG592" s="478">
        <f t="shared" si="183"/>
        <v>0.9985514336359651</v>
      </c>
      <c r="AH592" s="110"/>
      <c r="AI592" s="110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X593" s="354" t="s">
        <v>227</v>
      </c>
      <c r="Y593" s="348" t="s">
        <v>60</v>
      </c>
      <c r="Z593" s="349" t="s">
        <v>29</v>
      </c>
      <c r="AA593" s="350">
        <v>13</v>
      </c>
      <c r="AB593" s="355" t="s">
        <v>138</v>
      </c>
      <c r="AC593" s="372"/>
      <c r="AD593" s="353">
        <f>AD594</f>
        <v>1208.8999999999999</v>
      </c>
      <c r="AE593" s="353">
        <f>AE594</f>
        <v>1208.8999999999999</v>
      </c>
      <c r="AF593" s="468">
        <f t="shared" ref="AF593" si="187">AF594</f>
        <v>1208.9000000000001</v>
      </c>
      <c r="AG593" s="478">
        <f t="shared" si="183"/>
        <v>1.0000000000000002</v>
      </c>
      <c r="AH593" s="110"/>
      <c r="AI593" s="110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X594" s="368" t="s">
        <v>228</v>
      </c>
      <c r="Y594" s="348" t="s">
        <v>60</v>
      </c>
      <c r="Z594" s="375" t="s">
        <v>29</v>
      </c>
      <c r="AA594" s="376">
        <v>13</v>
      </c>
      <c r="AB594" s="355" t="s">
        <v>229</v>
      </c>
      <c r="AC594" s="370"/>
      <c r="AD594" s="353">
        <f t="shared" ref="AD594:AF595" si="188">AD595</f>
        <v>1208.8999999999999</v>
      </c>
      <c r="AE594" s="353">
        <f t="shared" si="188"/>
        <v>1208.8999999999999</v>
      </c>
      <c r="AF594" s="468">
        <f t="shared" si="188"/>
        <v>1208.9000000000001</v>
      </c>
      <c r="AG594" s="478">
        <f t="shared" si="183"/>
        <v>1.0000000000000002</v>
      </c>
      <c r="AH594" s="110"/>
      <c r="AI594" s="110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X595" s="358" t="s">
        <v>42</v>
      </c>
      <c r="Y595" s="348" t="s">
        <v>60</v>
      </c>
      <c r="Z595" s="375" t="s">
        <v>29</v>
      </c>
      <c r="AA595" s="376">
        <v>13</v>
      </c>
      <c r="AB595" s="355" t="s">
        <v>229</v>
      </c>
      <c r="AC595" s="370">
        <v>800</v>
      </c>
      <c r="AD595" s="353">
        <f t="shared" si="188"/>
        <v>1208.8999999999999</v>
      </c>
      <c r="AE595" s="353">
        <f t="shared" si="188"/>
        <v>1208.8999999999999</v>
      </c>
      <c r="AF595" s="468">
        <f t="shared" si="188"/>
        <v>1208.9000000000001</v>
      </c>
      <c r="AG595" s="478">
        <f t="shared" si="183"/>
        <v>1.0000000000000002</v>
      </c>
      <c r="AH595" s="110"/>
      <c r="AI595" s="110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X596" s="358" t="s">
        <v>133</v>
      </c>
      <c r="Y596" s="348" t="s">
        <v>60</v>
      </c>
      <c r="Z596" s="375" t="s">
        <v>29</v>
      </c>
      <c r="AA596" s="376">
        <v>13</v>
      </c>
      <c r="AB596" s="355" t="s">
        <v>229</v>
      </c>
      <c r="AC596" s="370">
        <v>830</v>
      </c>
      <c r="AD596" s="353">
        <f>180+180+812.8+36.1</f>
        <v>1208.8999999999999</v>
      </c>
      <c r="AE596" s="353">
        <f>180+180+812.8+36.1</f>
        <v>1208.8999999999999</v>
      </c>
      <c r="AF596" s="468">
        <v>1208.9000000000001</v>
      </c>
      <c r="AG596" s="478">
        <f t="shared" si="183"/>
        <v>1.0000000000000002</v>
      </c>
      <c r="AH596" s="110"/>
      <c r="AI596" s="110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X597" s="340" t="s">
        <v>3</v>
      </c>
      <c r="Y597" s="341" t="s">
        <v>60</v>
      </c>
      <c r="Z597" s="378" t="s">
        <v>5</v>
      </c>
      <c r="AA597" s="343"/>
      <c r="AB597" s="481"/>
      <c r="AC597" s="482"/>
      <c r="AD597" s="346">
        <f t="shared" ref="AD597:AE603" si="189">AD598</f>
        <v>194000</v>
      </c>
      <c r="AE597" s="346">
        <f t="shared" si="189"/>
        <v>194000</v>
      </c>
      <c r="AF597" s="467">
        <f t="shared" ref="AF597" si="190">AF598</f>
        <v>194000</v>
      </c>
      <c r="AG597" s="477">
        <f t="shared" si="183"/>
        <v>1</v>
      </c>
      <c r="AH597" s="110"/>
      <c r="AI597" s="110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X598" s="347" t="s">
        <v>335</v>
      </c>
      <c r="Y598" s="348" t="s">
        <v>60</v>
      </c>
      <c r="Z598" s="349" t="s">
        <v>5</v>
      </c>
      <c r="AA598" s="350" t="s">
        <v>30</v>
      </c>
      <c r="AB598" s="377"/>
      <c r="AC598" s="372"/>
      <c r="AD598" s="353">
        <f>AD600</f>
        <v>194000</v>
      </c>
      <c r="AE598" s="353">
        <f>AE600</f>
        <v>194000</v>
      </c>
      <c r="AF598" s="468">
        <f>AF600</f>
        <v>194000</v>
      </c>
      <c r="AG598" s="478">
        <f t="shared" si="183"/>
        <v>1</v>
      </c>
      <c r="AH598" s="110"/>
      <c r="AI598" s="110"/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X599" s="354" t="s">
        <v>187</v>
      </c>
      <c r="Y599" s="348" t="s">
        <v>60</v>
      </c>
      <c r="Z599" s="349" t="s">
        <v>5</v>
      </c>
      <c r="AA599" s="350" t="s">
        <v>30</v>
      </c>
      <c r="AB599" s="355" t="s">
        <v>113</v>
      </c>
      <c r="AC599" s="372"/>
      <c r="AD599" s="353">
        <f>AD600</f>
        <v>194000</v>
      </c>
      <c r="AE599" s="353">
        <f>AE600</f>
        <v>194000</v>
      </c>
      <c r="AF599" s="353">
        <f>AF600</f>
        <v>194000</v>
      </c>
      <c r="AG599" s="478">
        <f t="shared" si="183"/>
        <v>1</v>
      </c>
      <c r="AH599" s="110"/>
      <c r="AI599" s="110"/>
    </row>
    <row r="600" spans="1:3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X600" s="369" t="s">
        <v>568</v>
      </c>
      <c r="Y600" s="348" t="s">
        <v>60</v>
      </c>
      <c r="Z600" s="1" t="s">
        <v>5</v>
      </c>
      <c r="AA600" s="4" t="s">
        <v>30</v>
      </c>
      <c r="AB600" s="355" t="s">
        <v>114</v>
      </c>
      <c r="AC600" s="315"/>
      <c r="AD600" s="353">
        <f t="shared" si="189"/>
        <v>194000</v>
      </c>
      <c r="AE600" s="353">
        <f t="shared" si="189"/>
        <v>194000</v>
      </c>
      <c r="AF600" s="468">
        <f t="shared" ref="AF600:AF603" si="191">AF601</f>
        <v>194000</v>
      </c>
      <c r="AG600" s="478">
        <f t="shared" si="183"/>
        <v>1</v>
      </c>
      <c r="AH600" s="110"/>
      <c r="AI600" s="110"/>
    </row>
    <row r="601" spans="1:35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X601" s="368" t="s">
        <v>183</v>
      </c>
      <c r="Y601" s="348" t="s">
        <v>60</v>
      </c>
      <c r="Z601" s="1" t="s">
        <v>5</v>
      </c>
      <c r="AA601" s="4" t="s">
        <v>30</v>
      </c>
      <c r="AB601" s="355" t="s">
        <v>184</v>
      </c>
      <c r="AC601" s="315"/>
      <c r="AD601" s="353">
        <f t="shared" si="189"/>
        <v>194000</v>
      </c>
      <c r="AE601" s="353">
        <f t="shared" si="189"/>
        <v>194000</v>
      </c>
      <c r="AF601" s="468">
        <f t="shared" si="191"/>
        <v>194000</v>
      </c>
      <c r="AG601" s="478">
        <f t="shared" si="183"/>
        <v>1</v>
      </c>
      <c r="AH601" s="110"/>
      <c r="AI601" s="110"/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X602" s="368" t="s">
        <v>185</v>
      </c>
      <c r="Y602" s="348" t="s">
        <v>60</v>
      </c>
      <c r="Z602" s="1" t="s">
        <v>5</v>
      </c>
      <c r="AA602" s="4" t="s">
        <v>30</v>
      </c>
      <c r="AB602" s="355" t="s">
        <v>186</v>
      </c>
      <c r="AC602" s="315"/>
      <c r="AD602" s="353">
        <f t="shared" si="189"/>
        <v>194000</v>
      </c>
      <c r="AE602" s="353">
        <f t="shared" si="189"/>
        <v>194000</v>
      </c>
      <c r="AF602" s="468">
        <f t="shared" si="191"/>
        <v>194000</v>
      </c>
      <c r="AG602" s="478">
        <f t="shared" si="183"/>
        <v>1</v>
      </c>
      <c r="AH602" s="110"/>
      <c r="AI602" s="110"/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X603" s="347" t="s">
        <v>42</v>
      </c>
      <c r="Y603" s="348" t="s">
        <v>60</v>
      </c>
      <c r="Z603" s="1" t="s">
        <v>5</v>
      </c>
      <c r="AA603" s="4" t="s">
        <v>30</v>
      </c>
      <c r="AB603" s="355" t="s">
        <v>186</v>
      </c>
      <c r="AC603" s="315" t="s">
        <v>363</v>
      </c>
      <c r="AD603" s="353">
        <f t="shared" si="189"/>
        <v>194000</v>
      </c>
      <c r="AE603" s="353">
        <f t="shared" si="189"/>
        <v>194000</v>
      </c>
      <c r="AF603" s="468">
        <f t="shared" si="191"/>
        <v>194000</v>
      </c>
      <c r="AG603" s="478">
        <f t="shared" si="183"/>
        <v>1</v>
      </c>
      <c r="AH603" s="110"/>
      <c r="AI603" s="110"/>
    </row>
    <row r="604" spans="1:35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X604" s="347" t="s">
        <v>122</v>
      </c>
      <c r="Y604" s="348" t="s">
        <v>60</v>
      </c>
      <c r="Z604" s="1" t="s">
        <v>5</v>
      </c>
      <c r="AA604" s="4" t="s">
        <v>30</v>
      </c>
      <c r="AB604" s="355" t="s">
        <v>186</v>
      </c>
      <c r="AC604" s="315" t="s">
        <v>364</v>
      </c>
      <c r="AD604" s="353">
        <f>109000+85000</f>
        <v>194000</v>
      </c>
      <c r="AE604" s="353">
        <f>109000+85000</f>
        <v>194000</v>
      </c>
      <c r="AF604" s="468">
        <v>194000</v>
      </c>
      <c r="AG604" s="478">
        <f t="shared" si="183"/>
        <v>1</v>
      </c>
      <c r="AH604" s="110"/>
      <c r="AI604" s="110"/>
    </row>
    <row r="605" spans="1:3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X605" s="340" t="s">
        <v>95</v>
      </c>
      <c r="Y605" s="341" t="s">
        <v>60</v>
      </c>
      <c r="Z605" s="378" t="s">
        <v>36</v>
      </c>
      <c r="AA605" s="400"/>
      <c r="AB605" s="344"/>
      <c r="AC605" s="345"/>
      <c r="AD605" s="346">
        <f>AD606+AD613</f>
        <v>40101.699999999997</v>
      </c>
      <c r="AE605" s="346">
        <f>AE606+AE613</f>
        <v>40101.699999999997</v>
      </c>
      <c r="AF605" s="467">
        <f>AF606+AF613</f>
        <v>40099.799999999996</v>
      </c>
      <c r="AG605" s="477">
        <f t="shared" si="183"/>
        <v>0.99995262046247413</v>
      </c>
      <c r="AH605" s="110"/>
      <c r="AI605" s="110"/>
    </row>
    <row r="606" spans="1:3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X606" s="347" t="s">
        <v>56</v>
      </c>
      <c r="Y606" s="348" t="s">
        <v>60</v>
      </c>
      <c r="Z606" s="349">
        <v>10</v>
      </c>
      <c r="AA606" s="350" t="s">
        <v>29</v>
      </c>
      <c r="AB606" s="351"/>
      <c r="AC606" s="393"/>
      <c r="AD606" s="353">
        <f t="shared" ref="AD606:AF611" si="192">AD607</f>
        <v>774.69999999999993</v>
      </c>
      <c r="AE606" s="353">
        <f t="shared" si="192"/>
        <v>774.69999999999993</v>
      </c>
      <c r="AF606" s="468">
        <f t="shared" si="192"/>
        <v>774.7</v>
      </c>
      <c r="AG606" s="478">
        <f t="shared" si="183"/>
        <v>1.0000000000000002</v>
      </c>
      <c r="AH606" s="110"/>
      <c r="AI606" s="110"/>
    </row>
    <row r="607" spans="1:3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X607" s="354" t="s">
        <v>300</v>
      </c>
      <c r="Y607" s="348" t="s">
        <v>60</v>
      </c>
      <c r="Z607" s="349">
        <v>10</v>
      </c>
      <c r="AA607" s="350" t="s">
        <v>29</v>
      </c>
      <c r="AB607" s="355" t="s">
        <v>110</v>
      </c>
      <c r="AC607" s="393"/>
      <c r="AD607" s="353">
        <f t="shared" si="192"/>
        <v>774.69999999999993</v>
      </c>
      <c r="AE607" s="353">
        <f t="shared" si="192"/>
        <v>774.69999999999993</v>
      </c>
      <c r="AF607" s="468">
        <f t="shared" si="192"/>
        <v>774.7</v>
      </c>
      <c r="AG607" s="478">
        <f t="shared" si="183"/>
        <v>1.0000000000000002</v>
      </c>
      <c r="AH607" s="110"/>
      <c r="AI607" s="110"/>
    </row>
    <row r="608" spans="1:3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X608" s="354" t="s">
        <v>301</v>
      </c>
      <c r="Y608" s="348" t="s">
        <v>60</v>
      </c>
      <c r="Z608" s="349">
        <v>10</v>
      </c>
      <c r="AA608" s="350" t="s">
        <v>29</v>
      </c>
      <c r="AB608" s="355" t="s">
        <v>119</v>
      </c>
      <c r="AC608" s="393"/>
      <c r="AD608" s="353">
        <f t="shared" si="192"/>
        <v>774.69999999999993</v>
      </c>
      <c r="AE608" s="353">
        <f t="shared" si="192"/>
        <v>774.69999999999993</v>
      </c>
      <c r="AF608" s="468">
        <f t="shared" si="192"/>
        <v>774.7</v>
      </c>
      <c r="AG608" s="478">
        <f t="shared" si="183"/>
        <v>1.0000000000000002</v>
      </c>
      <c r="AH608" s="110"/>
      <c r="AI608" s="110"/>
    </row>
    <row r="609" spans="1:35" ht="31.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X609" s="354" t="s">
        <v>498</v>
      </c>
      <c r="Y609" s="348" t="s">
        <v>60</v>
      </c>
      <c r="Z609" s="349">
        <v>10</v>
      </c>
      <c r="AA609" s="350" t="s">
        <v>29</v>
      </c>
      <c r="AB609" s="355" t="s">
        <v>497</v>
      </c>
      <c r="AC609" s="393"/>
      <c r="AD609" s="353">
        <f t="shared" si="192"/>
        <v>774.69999999999993</v>
      </c>
      <c r="AE609" s="353">
        <f t="shared" si="192"/>
        <v>774.69999999999993</v>
      </c>
      <c r="AF609" s="468">
        <f t="shared" si="192"/>
        <v>774.7</v>
      </c>
      <c r="AG609" s="478">
        <f t="shared" si="183"/>
        <v>1.0000000000000002</v>
      </c>
      <c r="AH609" s="110"/>
      <c r="AI609" s="110"/>
    </row>
    <row r="610" spans="1:35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X610" s="368" t="s">
        <v>303</v>
      </c>
      <c r="Y610" s="348" t="s">
        <v>60</v>
      </c>
      <c r="Z610" s="349">
        <v>10</v>
      </c>
      <c r="AA610" s="350" t="s">
        <v>29</v>
      </c>
      <c r="AB610" s="355" t="s">
        <v>496</v>
      </c>
      <c r="AC610" s="393"/>
      <c r="AD610" s="353">
        <f t="shared" si="192"/>
        <v>774.69999999999993</v>
      </c>
      <c r="AE610" s="353">
        <f t="shared" si="192"/>
        <v>774.69999999999993</v>
      </c>
      <c r="AF610" s="468">
        <f t="shared" si="192"/>
        <v>774.7</v>
      </c>
      <c r="AG610" s="478">
        <f t="shared" si="183"/>
        <v>1.0000000000000002</v>
      </c>
      <c r="AH610" s="110"/>
      <c r="AI610" s="110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X611" s="347" t="s">
        <v>98</v>
      </c>
      <c r="Y611" s="348" t="s">
        <v>60</v>
      </c>
      <c r="Z611" s="349">
        <v>10</v>
      </c>
      <c r="AA611" s="350" t="s">
        <v>29</v>
      </c>
      <c r="AB611" s="355" t="s">
        <v>496</v>
      </c>
      <c r="AC611" s="357">
        <v>300</v>
      </c>
      <c r="AD611" s="353">
        <f t="shared" si="192"/>
        <v>774.69999999999993</v>
      </c>
      <c r="AE611" s="353">
        <f t="shared" si="192"/>
        <v>774.69999999999993</v>
      </c>
      <c r="AF611" s="468">
        <f t="shared" si="192"/>
        <v>774.7</v>
      </c>
      <c r="AG611" s="478">
        <f t="shared" si="183"/>
        <v>1.0000000000000002</v>
      </c>
      <c r="AH611" s="110"/>
      <c r="AI611" s="110"/>
    </row>
    <row r="612" spans="1:3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X612" s="347" t="s">
        <v>40</v>
      </c>
      <c r="Y612" s="348" t="s">
        <v>60</v>
      </c>
      <c r="Z612" s="349">
        <v>10</v>
      </c>
      <c r="AA612" s="350" t="s">
        <v>29</v>
      </c>
      <c r="AB612" s="355" t="s">
        <v>496</v>
      </c>
      <c r="AC612" s="357">
        <v>320</v>
      </c>
      <c r="AD612" s="353">
        <f>725.4+49.3</f>
        <v>774.69999999999993</v>
      </c>
      <c r="AE612" s="353">
        <f>725.4+49.3</f>
        <v>774.69999999999993</v>
      </c>
      <c r="AF612" s="468">
        <v>774.7</v>
      </c>
      <c r="AG612" s="478">
        <f t="shared" si="183"/>
        <v>1.0000000000000002</v>
      </c>
      <c r="AH612" s="110"/>
      <c r="AI612" s="110"/>
    </row>
    <row r="613" spans="1:3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X613" s="347" t="s">
        <v>31</v>
      </c>
      <c r="Y613" s="348" t="s">
        <v>60</v>
      </c>
      <c r="Z613" s="349">
        <v>10</v>
      </c>
      <c r="AA613" s="350" t="s">
        <v>48</v>
      </c>
      <c r="AB613" s="351"/>
      <c r="AC613" s="357"/>
      <c r="AD613" s="353">
        <f t="shared" ref="AD613:AF615" si="193">AD614</f>
        <v>39327</v>
      </c>
      <c r="AE613" s="353">
        <f t="shared" si="193"/>
        <v>39327</v>
      </c>
      <c r="AF613" s="468">
        <f t="shared" si="193"/>
        <v>39325.1</v>
      </c>
      <c r="AG613" s="478">
        <f t="shared" si="183"/>
        <v>0.99995168713606419</v>
      </c>
      <c r="AH613" s="110"/>
      <c r="AI613" s="110"/>
    </row>
    <row r="614" spans="1:3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X614" s="354" t="s">
        <v>182</v>
      </c>
      <c r="Y614" s="348" t="s">
        <v>60</v>
      </c>
      <c r="Z614" s="349">
        <v>10</v>
      </c>
      <c r="AA614" s="350" t="s">
        <v>48</v>
      </c>
      <c r="AB614" s="351" t="s">
        <v>117</v>
      </c>
      <c r="AC614" s="357"/>
      <c r="AD614" s="353">
        <f t="shared" si="193"/>
        <v>39327</v>
      </c>
      <c r="AE614" s="353">
        <f t="shared" si="193"/>
        <v>39327</v>
      </c>
      <c r="AF614" s="468">
        <f t="shared" si="193"/>
        <v>39325.1</v>
      </c>
      <c r="AG614" s="478">
        <f t="shared" si="183"/>
        <v>0.99995168713606419</v>
      </c>
      <c r="AH614" s="110"/>
      <c r="AI614" s="110"/>
    </row>
    <row r="615" spans="1:35" ht="31.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X615" s="359" t="s">
        <v>470</v>
      </c>
      <c r="Y615" s="348" t="s">
        <v>60</v>
      </c>
      <c r="Z615" s="349">
        <v>10</v>
      </c>
      <c r="AA615" s="350" t="s">
        <v>48</v>
      </c>
      <c r="AB615" s="355" t="s">
        <v>147</v>
      </c>
      <c r="AC615" s="357"/>
      <c r="AD615" s="353">
        <f t="shared" si="193"/>
        <v>39327</v>
      </c>
      <c r="AE615" s="353">
        <f t="shared" si="193"/>
        <v>39327</v>
      </c>
      <c r="AF615" s="468">
        <f t="shared" si="193"/>
        <v>39325.1</v>
      </c>
      <c r="AG615" s="478">
        <f t="shared" si="183"/>
        <v>0.99995168713606419</v>
      </c>
      <c r="AH615" s="110"/>
      <c r="AI615" s="110"/>
    </row>
    <row r="616" spans="1:35" ht="47.2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X616" s="359" t="s">
        <v>471</v>
      </c>
      <c r="Y616" s="348" t="s">
        <v>60</v>
      </c>
      <c r="Z616" s="349">
        <v>10</v>
      </c>
      <c r="AA616" s="350" t="s">
        <v>48</v>
      </c>
      <c r="AB616" s="355" t="s">
        <v>146</v>
      </c>
      <c r="AC616" s="357"/>
      <c r="AD616" s="353">
        <f>AD617+AD620</f>
        <v>39327</v>
      </c>
      <c r="AE616" s="353">
        <f>AE617+AE620</f>
        <v>39327</v>
      </c>
      <c r="AF616" s="468">
        <f>AF617+AF620</f>
        <v>39325.1</v>
      </c>
      <c r="AG616" s="478">
        <f t="shared" si="183"/>
        <v>0.99995168713606419</v>
      </c>
      <c r="AH616" s="110"/>
      <c r="AI616" s="110"/>
    </row>
    <row r="617" spans="1:35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X617" s="369" t="s">
        <v>677</v>
      </c>
      <c r="Y617" s="348" t="s">
        <v>60</v>
      </c>
      <c r="Z617" s="349">
        <v>10</v>
      </c>
      <c r="AA617" s="350" t="s">
        <v>48</v>
      </c>
      <c r="AB617" s="355" t="s">
        <v>145</v>
      </c>
      <c r="AC617" s="357"/>
      <c r="AD617" s="353">
        <f t="shared" ref="AD617:AF618" si="194">AD618</f>
        <v>4825</v>
      </c>
      <c r="AE617" s="353">
        <f t="shared" si="194"/>
        <v>4825</v>
      </c>
      <c r="AF617" s="468">
        <f t="shared" si="194"/>
        <v>4824.5</v>
      </c>
      <c r="AG617" s="478">
        <f t="shared" si="183"/>
        <v>0.99989637305699486</v>
      </c>
      <c r="AH617" s="110"/>
      <c r="AI617" s="110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X618" s="347" t="s">
        <v>23</v>
      </c>
      <c r="Y618" s="348" t="s">
        <v>60</v>
      </c>
      <c r="Z618" s="349">
        <v>10</v>
      </c>
      <c r="AA618" s="350" t="s">
        <v>48</v>
      </c>
      <c r="AB618" s="389" t="s">
        <v>145</v>
      </c>
      <c r="AC618" s="357">
        <v>400</v>
      </c>
      <c r="AD618" s="353">
        <f t="shared" si="194"/>
        <v>4825</v>
      </c>
      <c r="AE618" s="353">
        <f t="shared" si="194"/>
        <v>4825</v>
      </c>
      <c r="AF618" s="468">
        <f t="shared" si="194"/>
        <v>4824.5</v>
      </c>
      <c r="AG618" s="478">
        <f t="shared" si="183"/>
        <v>0.99989637305699486</v>
      </c>
      <c r="AH618" s="110"/>
      <c r="AI618" s="110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X619" s="347" t="s">
        <v>9</v>
      </c>
      <c r="Y619" s="348" t="s">
        <v>60</v>
      </c>
      <c r="Z619" s="349">
        <v>10</v>
      </c>
      <c r="AA619" s="350" t="s">
        <v>48</v>
      </c>
      <c r="AB619" s="389" t="s">
        <v>145</v>
      </c>
      <c r="AC619" s="357">
        <v>410</v>
      </c>
      <c r="AD619" s="353">
        <f>38674-14502-19227-120</f>
        <v>4825</v>
      </c>
      <c r="AE619" s="353">
        <f>38674-14502-19227-120</f>
        <v>4825</v>
      </c>
      <c r="AF619" s="468">
        <v>4824.5</v>
      </c>
      <c r="AG619" s="478">
        <f t="shared" si="183"/>
        <v>0.99989637305699486</v>
      </c>
      <c r="AH619" s="110"/>
      <c r="AI619" s="110"/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X620" s="347" t="s">
        <v>690</v>
      </c>
      <c r="Y620" s="348" t="s">
        <v>60</v>
      </c>
      <c r="Z620" s="349">
        <v>10</v>
      </c>
      <c r="AA620" s="350" t="s">
        <v>48</v>
      </c>
      <c r="AB620" s="389" t="s">
        <v>689</v>
      </c>
      <c r="AC620" s="357"/>
      <c r="AD620" s="353">
        <f t="shared" ref="AD620:AF621" si="195">AD621</f>
        <v>34502</v>
      </c>
      <c r="AE620" s="353">
        <f t="shared" si="195"/>
        <v>34502</v>
      </c>
      <c r="AF620" s="468">
        <f t="shared" si="195"/>
        <v>34500.6</v>
      </c>
      <c r="AG620" s="478">
        <f t="shared" si="183"/>
        <v>0.99995942264216564</v>
      </c>
      <c r="AH620" s="110"/>
      <c r="AI620" s="110"/>
    </row>
    <row r="621" spans="1:3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X621" s="347" t="s">
        <v>98</v>
      </c>
      <c r="Y621" s="348" t="s">
        <v>60</v>
      </c>
      <c r="Z621" s="349">
        <v>10</v>
      </c>
      <c r="AA621" s="350" t="s">
        <v>48</v>
      </c>
      <c r="AB621" s="389" t="s">
        <v>689</v>
      </c>
      <c r="AC621" s="357">
        <v>300</v>
      </c>
      <c r="AD621" s="353">
        <f t="shared" si="195"/>
        <v>34502</v>
      </c>
      <c r="AE621" s="353">
        <f t="shared" si="195"/>
        <v>34502</v>
      </c>
      <c r="AF621" s="468">
        <f t="shared" si="195"/>
        <v>34500.6</v>
      </c>
      <c r="AG621" s="478">
        <f t="shared" si="183"/>
        <v>0.99995942264216564</v>
      </c>
      <c r="AH621" s="110"/>
      <c r="AI621" s="110"/>
    </row>
    <row r="622" spans="1:3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X622" s="347" t="s">
        <v>40</v>
      </c>
      <c r="Y622" s="348" t="s">
        <v>60</v>
      </c>
      <c r="Z622" s="349">
        <v>10</v>
      </c>
      <c r="AA622" s="350" t="s">
        <v>48</v>
      </c>
      <c r="AB622" s="389" t="s">
        <v>689</v>
      </c>
      <c r="AC622" s="357">
        <v>320</v>
      </c>
      <c r="AD622" s="353">
        <f>14503+19999</f>
        <v>34502</v>
      </c>
      <c r="AE622" s="353">
        <f>14503+19999</f>
        <v>34502</v>
      </c>
      <c r="AF622" s="468">
        <v>34500.6</v>
      </c>
      <c r="AG622" s="478">
        <f t="shared" si="183"/>
        <v>0.99995942264216564</v>
      </c>
      <c r="AH622" s="110"/>
      <c r="AI622" s="110"/>
    </row>
    <row r="623" spans="1:35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X623" s="607" t="s">
        <v>439</v>
      </c>
      <c r="Y623" s="341" t="s">
        <v>440</v>
      </c>
      <c r="Z623" s="415"/>
      <c r="AA623" s="416"/>
      <c r="AB623" s="351"/>
      <c r="AC623" s="352"/>
      <c r="AD623" s="346">
        <f>AD624+AD632+AD802+AD793</f>
        <v>1321341.3</v>
      </c>
      <c r="AE623" s="346">
        <f>AE624+AE632+AE802+AE793</f>
        <v>1321341.3999999999</v>
      </c>
      <c r="AF623" s="467">
        <f>AF624+AF632+AF802+AF793</f>
        <v>1309242.1000000001</v>
      </c>
      <c r="AG623" s="477">
        <f t="shared" si="183"/>
        <v>0.99084316891910007</v>
      </c>
      <c r="AH623" s="110"/>
      <c r="AI623" s="110"/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X624" s="340" t="s">
        <v>25</v>
      </c>
      <c r="Y624" s="341" t="s">
        <v>440</v>
      </c>
      <c r="Z624" s="342" t="s">
        <v>29</v>
      </c>
      <c r="AA624" s="343"/>
      <c r="AB624" s="351"/>
      <c r="AC624" s="352"/>
      <c r="AD624" s="346">
        <f t="shared" ref="AD624:AF630" si="196">AD625</f>
        <v>25689.599999999999</v>
      </c>
      <c r="AE624" s="346">
        <f t="shared" si="196"/>
        <v>25689.599999999999</v>
      </c>
      <c r="AF624" s="467">
        <f t="shared" si="196"/>
        <v>25689.599999999999</v>
      </c>
      <c r="AG624" s="477">
        <f t="shared" si="183"/>
        <v>1</v>
      </c>
      <c r="AH624" s="110"/>
      <c r="AI624" s="110"/>
    </row>
    <row r="625" spans="1:3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X625" s="347" t="s">
        <v>14</v>
      </c>
      <c r="Y625" s="348" t="s">
        <v>440</v>
      </c>
      <c r="Z625" s="387" t="s">
        <v>29</v>
      </c>
      <c r="AA625" s="388">
        <v>13</v>
      </c>
      <c r="AB625" s="355"/>
      <c r="AC625" s="352"/>
      <c r="AD625" s="353">
        <f t="shared" si="196"/>
        <v>25689.599999999999</v>
      </c>
      <c r="AE625" s="353">
        <f t="shared" si="196"/>
        <v>25689.599999999999</v>
      </c>
      <c r="AF625" s="468">
        <f t="shared" si="196"/>
        <v>25689.599999999999</v>
      </c>
      <c r="AG625" s="478">
        <f t="shared" si="183"/>
        <v>1</v>
      </c>
      <c r="AH625" s="110"/>
      <c r="AI625" s="110"/>
    </row>
    <row r="626" spans="1:3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X626" s="354" t="s">
        <v>187</v>
      </c>
      <c r="Y626" s="348" t="s">
        <v>440</v>
      </c>
      <c r="Z626" s="387" t="s">
        <v>29</v>
      </c>
      <c r="AA626" s="388">
        <v>13</v>
      </c>
      <c r="AB626" s="355" t="s">
        <v>113</v>
      </c>
      <c r="AC626" s="352"/>
      <c r="AD626" s="353">
        <f t="shared" si="196"/>
        <v>25689.599999999999</v>
      </c>
      <c r="AE626" s="353">
        <f t="shared" si="196"/>
        <v>25689.599999999999</v>
      </c>
      <c r="AF626" s="468">
        <f t="shared" si="196"/>
        <v>25689.599999999999</v>
      </c>
      <c r="AG626" s="478">
        <f t="shared" si="183"/>
        <v>1</v>
      </c>
      <c r="AH626" s="110"/>
      <c r="AI626" s="110"/>
    </row>
    <row r="627" spans="1:36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X627" s="354" t="s">
        <v>191</v>
      </c>
      <c r="Y627" s="348" t="s">
        <v>440</v>
      </c>
      <c r="Z627" s="387" t="s">
        <v>29</v>
      </c>
      <c r="AA627" s="388">
        <v>13</v>
      </c>
      <c r="AB627" s="355" t="s">
        <v>192</v>
      </c>
      <c r="AC627" s="352"/>
      <c r="AD627" s="353">
        <f t="shared" si="196"/>
        <v>25689.599999999999</v>
      </c>
      <c r="AE627" s="353">
        <f t="shared" si="196"/>
        <v>25689.599999999999</v>
      </c>
      <c r="AF627" s="468">
        <f t="shared" si="196"/>
        <v>25689.599999999999</v>
      </c>
      <c r="AG627" s="478">
        <f t="shared" si="183"/>
        <v>1</v>
      </c>
      <c r="AH627" s="110"/>
      <c r="AI627" s="110"/>
    </row>
    <row r="628" spans="1:36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X628" s="354" t="s">
        <v>193</v>
      </c>
      <c r="Y628" s="348" t="s">
        <v>440</v>
      </c>
      <c r="Z628" s="387" t="s">
        <v>29</v>
      </c>
      <c r="AA628" s="388">
        <v>13</v>
      </c>
      <c r="AB628" s="355" t="s">
        <v>194</v>
      </c>
      <c r="AC628" s="352"/>
      <c r="AD628" s="353">
        <f>AD629</f>
        <v>25689.599999999999</v>
      </c>
      <c r="AE628" s="353">
        <f>AE629</f>
        <v>25689.599999999999</v>
      </c>
      <c r="AF628" s="468">
        <f>AF629</f>
        <v>25689.599999999999</v>
      </c>
      <c r="AG628" s="478">
        <f t="shared" si="183"/>
        <v>1</v>
      </c>
      <c r="AH628" s="110"/>
      <c r="AI628" s="110"/>
    </row>
    <row r="629" spans="1:36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X629" s="368" t="s">
        <v>219</v>
      </c>
      <c r="Y629" s="348" t="s">
        <v>440</v>
      </c>
      <c r="Z629" s="387" t="s">
        <v>29</v>
      </c>
      <c r="AA629" s="388">
        <v>13</v>
      </c>
      <c r="AB629" s="363" t="s">
        <v>220</v>
      </c>
      <c r="AC629" s="352"/>
      <c r="AD629" s="353">
        <f t="shared" si="196"/>
        <v>25689.599999999999</v>
      </c>
      <c r="AE629" s="353">
        <f t="shared" si="196"/>
        <v>25689.599999999999</v>
      </c>
      <c r="AF629" s="468">
        <f t="shared" si="196"/>
        <v>25689.599999999999</v>
      </c>
      <c r="AG629" s="478">
        <f t="shared" si="183"/>
        <v>1</v>
      </c>
      <c r="AH629" s="110"/>
      <c r="AI629" s="110"/>
    </row>
    <row r="630" spans="1:36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X630" s="347" t="s">
        <v>61</v>
      </c>
      <c r="Y630" s="348" t="s">
        <v>440</v>
      </c>
      <c r="Z630" s="387" t="s">
        <v>29</v>
      </c>
      <c r="AA630" s="388">
        <v>13</v>
      </c>
      <c r="AB630" s="363" t="s">
        <v>220</v>
      </c>
      <c r="AC630" s="422">
        <v>600</v>
      </c>
      <c r="AD630" s="353">
        <f t="shared" si="196"/>
        <v>25689.599999999999</v>
      </c>
      <c r="AE630" s="353">
        <f t="shared" si="196"/>
        <v>25689.599999999999</v>
      </c>
      <c r="AF630" s="468">
        <f t="shared" si="196"/>
        <v>25689.599999999999</v>
      </c>
      <c r="AG630" s="478">
        <f t="shared" si="183"/>
        <v>1</v>
      </c>
      <c r="AH630" s="110"/>
      <c r="AI630" s="110"/>
    </row>
    <row r="631" spans="1:3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X631" s="347" t="s">
        <v>62</v>
      </c>
      <c r="Y631" s="348" t="s">
        <v>440</v>
      </c>
      <c r="Z631" s="387" t="s">
        <v>29</v>
      </c>
      <c r="AA631" s="388">
        <v>13</v>
      </c>
      <c r="AB631" s="363" t="s">
        <v>220</v>
      </c>
      <c r="AC631" s="422">
        <v>610</v>
      </c>
      <c r="AD631" s="353">
        <v>25689.599999999999</v>
      </c>
      <c r="AE631" s="353">
        <v>25689.599999999999</v>
      </c>
      <c r="AF631" s="468">
        <v>25689.599999999999</v>
      </c>
      <c r="AG631" s="478">
        <f t="shared" ref="AG631:AG691" si="197">AF631/AE631</f>
        <v>1</v>
      </c>
      <c r="AH631" s="110"/>
      <c r="AI631" s="110"/>
    </row>
    <row r="632" spans="1:3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X632" s="340" t="s">
        <v>4</v>
      </c>
      <c r="Y632" s="341" t="s">
        <v>440</v>
      </c>
      <c r="Z632" s="378" t="s">
        <v>8</v>
      </c>
      <c r="AA632" s="400"/>
      <c r="AB632" s="344"/>
      <c r="AC632" s="345"/>
      <c r="AD632" s="346">
        <f>AD633+AD659+AD728+AD767+AD760</f>
        <v>1277186.8999999999</v>
      </c>
      <c r="AE632" s="346">
        <f>AE633+AE659+AE728+AE767+AE760</f>
        <v>1277186.8999999999</v>
      </c>
      <c r="AF632" s="467">
        <f>AF633+AF659+AF728+AF767+AF760</f>
        <v>1267898.3999999999</v>
      </c>
      <c r="AG632" s="477">
        <f t="shared" si="197"/>
        <v>0.9927273760794133</v>
      </c>
      <c r="AH632" s="110"/>
      <c r="AI632" s="110"/>
    </row>
    <row r="633" spans="1:3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X633" s="347" t="s">
        <v>19</v>
      </c>
      <c r="Y633" s="348" t="s">
        <v>440</v>
      </c>
      <c r="Z633" s="401" t="s">
        <v>8</v>
      </c>
      <c r="AA633" s="350" t="s">
        <v>29</v>
      </c>
      <c r="AB633" s="351"/>
      <c r="AC633" s="357"/>
      <c r="AD633" s="353">
        <f>AD634+AD647</f>
        <v>441202.39999999997</v>
      </c>
      <c r="AE633" s="353">
        <f>AE634+AE647</f>
        <v>441202.39999999997</v>
      </c>
      <c r="AF633" s="468">
        <f>AF634+AF647</f>
        <v>440137</v>
      </c>
      <c r="AG633" s="478">
        <f t="shared" si="197"/>
        <v>0.99758523525710652</v>
      </c>
      <c r="AH633" s="161"/>
      <c r="AI633" s="161"/>
      <c r="AJ633" s="161"/>
    </row>
    <row r="634" spans="1:3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X634" s="356" t="s">
        <v>270</v>
      </c>
      <c r="Y634" s="371" t="s">
        <v>440</v>
      </c>
      <c r="Z634" s="349" t="s">
        <v>8</v>
      </c>
      <c r="AA634" s="350" t="s">
        <v>29</v>
      </c>
      <c r="AB634" s="355" t="s">
        <v>101</v>
      </c>
      <c r="AC634" s="352"/>
      <c r="AD634" s="353">
        <f>AD635</f>
        <v>441202.39999999997</v>
      </c>
      <c r="AE634" s="353">
        <f>AE635</f>
        <v>441202.39999999997</v>
      </c>
      <c r="AF634" s="468">
        <f>AF635</f>
        <v>440137</v>
      </c>
      <c r="AG634" s="478">
        <f t="shared" si="197"/>
        <v>0.99758523525710652</v>
      </c>
      <c r="AH634" s="110"/>
      <c r="AI634" s="110"/>
    </row>
    <row r="635" spans="1:36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X635" s="356" t="s">
        <v>273</v>
      </c>
      <c r="Y635" s="371" t="s">
        <v>440</v>
      </c>
      <c r="Z635" s="401" t="s">
        <v>8</v>
      </c>
      <c r="AA635" s="350" t="s">
        <v>29</v>
      </c>
      <c r="AB635" s="355" t="s">
        <v>118</v>
      </c>
      <c r="AC635" s="357"/>
      <c r="AD635" s="353">
        <f>AD636+AD655</f>
        <v>441202.39999999997</v>
      </c>
      <c r="AE635" s="353">
        <f>AE636+AE655</f>
        <v>441202.39999999997</v>
      </c>
      <c r="AF635" s="468">
        <f>AF636+AF655</f>
        <v>440137</v>
      </c>
      <c r="AG635" s="478">
        <f t="shared" si="197"/>
        <v>0.99758523525710652</v>
      </c>
      <c r="AH635" s="110"/>
      <c r="AI635" s="110"/>
    </row>
    <row r="636" spans="1:36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X636" s="356" t="s">
        <v>479</v>
      </c>
      <c r="Y636" s="348" t="s">
        <v>440</v>
      </c>
      <c r="Z636" s="375" t="s">
        <v>8</v>
      </c>
      <c r="AA636" s="376" t="s">
        <v>29</v>
      </c>
      <c r="AB636" s="355" t="s">
        <v>478</v>
      </c>
      <c r="AC636" s="352"/>
      <c r="AD636" s="353">
        <f>AD640+AD644+AD652+AD637</f>
        <v>439742.39999999997</v>
      </c>
      <c r="AE636" s="353">
        <f>AE640+AE644+AE652+AE637</f>
        <v>439742.39999999997</v>
      </c>
      <c r="AF636" s="468">
        <f t="shared" ref="AF636" si="198">AF640+AF644+AF652+AF637</f>
        <v>439299.4</v>
      </c>
      <c r="AG636" s="478">
        <f t="shared" si="197"/>
        <v>0.99899259202660484</v>
      </c>
      <c r="AH636" s="110"/>
      <c r="AI636" s="110"/>
    </row>
    <row r="637" spans="1:36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X637" s="356" t="s">
        <v>722</v>
      </c>
      <c r="Y637" s="348">
        <v>901</v>
      </c>
      <c r="Z637" s="401" t="s">
        <v>8</v>
      </c>
      <c r="AA637" s="350" t="s">
        <v>29</v>
      </c>
      <c r="AB637" s="355" t="s">
        <v>724</v>
      </c>
      <c r="AC637" s="373"/>
      <c r="AD637" s="353">
        <f>AD638</f>
        <v>1707.8</v>
      </c>
      <c r="AE637" s="353">
        <f>AE638</f>
        <v>1707.8</v>
      </c>
      <c r="AF637" s="468">
        <f t="shared" ref="AF637" si="199">AF638</f>
        <v>1586.4</v>
      </c>
      <c r="AG637" s="478">
        <f t="shared" si="197"/>
        <v>0.9289143927860406</v>
      </c>
      <c r="AH637" s="110"/>
      <c r="AI637" s="110"/>
    </row>
    <row r="638" spans="1:36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X638" s="347" t="s">
        <v>61</v>
      </c>
      <c r="Y638" s="348">
        <v>901</v>
      </c>
      <c r="Z638" s="401" t="s">
        <v>8</v>
      </c>
      <c r="AA638" s="350" t="s">
        <v>29</v>
      </c>
      <c r="AB638" s="355" t="s">
        <v>724</v>
      </c>
      <c r="AC638" s="357">
        <v>600</v>
      </c>
      <c r="AD638" s="353">
        <f>AD639</f>
        <v>1707.8</v>
      </c>
      <c r="AE638" s="353">
        <f>AE639</f>
        <v>1707.8</v>
      </c>
      <c r="AF638" s="468">
        <f t="shared" ref="AF638" si="200">AF639</f>
        <v>1586.4</v>
      </c>
      <c r="AG638" s="478">
        <f t="shared" si="197"/>
        <v>0.9289143927860406</v>
      </c>
      <c r="AH638" s="110"/>
      <c r="AI638" s="110"/>
    </row>
    <row r="639" spans="1:36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X639" s="347" t="s">
        <v>62</v>
      </c>
      <c r="Y639" s="348">
        <v>901</v>
      </c>
      <c r="Z639" s="401" t="s">
        <v>8</v>
      </c>
      <c r="AA639" s="350" t="s">
        <v>29</v>
      </c>
      <c r="AB639" s="355" t="s">
        <v>724</v>
      </c>
      <c r="AC639" s="357">
        <v>610</v>
      </c>
      <c r="AD639" s="353">
        <f>887.8+820</f>
        <v>1707.8</v>
      </c>
      <c r="AE639" s="353">
        <f>887.8+820</f>
        <v>1707.8</v>
      </c>
      <c r="AF639" s="468">
        <v>1586.4</v>
      </c>
      <c r="AG639" s="478">
        <f t="shared" si="197"/>
        <v>0.9289143927860406</v>
      </c>
      <c r="AH639" s="110"/>
      <c r="AI639" s="110"/>
    </row>
    <row r="640" spans="1:36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X640" s="358" t="s">
        <v>272</v>
      </c>
      <c r="Y640" s="348" t="s">
        <v>440</v>
      </c>
      <c r="Z640" s="401" t="s">
        <v>8</v>
      </c>
      <c r="AA640" s="350" t="s">
        <v>29</v>
      </c>
      <c r="AB640" s="355" t="s">
        <v>481</v>
      </c>
      <c r="AC640" s="409"/>
      <c r="AD640" s="353">
        <f>AD641</f>
        <v>157897.60000000001</v>
      </c>
      <c r="AE640" s="353">
        <f>AE641</f>
        <v>157897.60000000001</v>
      </c>
      <c r="AF640" s="468">
        <f>AF641</f>
        <v>157897.60000000001</v>
      </c>
      <c r="AG640" s="478">
        <f t="shared" si="197"/>
        <v>1</v>
      </c>
      <c r="AH640" s="110"/>
      <c r="AI640" s="110"/>
    </row>
    <row r="641" spans="1:35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X641" s="358" t="s">
        <v>346</v>
      </c>
      <c r="Y641" s="348" t="s">
        <v>440</v>
      </c>
      <c r="Z641" s="401" t="s">
        <v>8</v>
      </c>
      <c r="AA641" s="350" t="s">
        <v>29</v>
      </c>
      <c r="AB641" s="355" t="s">
        <v>482</v>
      </c>
      <c r="AC641" s="357"/>
      <c r="AD641" s="353">
        <f>AD642</f>
        <v>157897.60000000001</v>
      </c>
      <c r="AE641" s="353">
        <f>AE642</f>
        <v>157897.60000000001</v>
      </c>
      <c r="AF641" s="468">
        <f t="shared" ref="AD641:AF642" si="201">AF642</f>
        <v>157897.60000000001</v>
      </c>
      <c r="AG641" s="478">
        <f t="shared" si="197"/>
        <v>1</v>
      </c>
      <c r="AH641" s="110"/>
      <c r="AI641" s="110"/>
    </row>
    <row r="642" spans="1:35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X642" s="347" t="s">
        <v>61</v>
      </c>
      <c r="Y642" s="348" t="s">
        <v>440</v>
      </c>
      <c r="Z642" s="401" t="s">
        <v>8</v>
      </c>
      <c r="AA642" s="350" t="s">
        <v>29</v>
      </c>
      <c r="AB642" s="355" t="s">
        <v>482</v>
      </c>
      <c r="AC642" s="357">
        <v>600</v>
      </c>
      <c r="AD642" s="353">
        <f t="shared" si="201"/>
        <v>157897.60000000001</v>
      </c>
      <c r="AE642" s="353">
        <f t="shared" si="201"/>
        <v>157897.60000000001</v>
      </c>
      <c r="AF642" s="468">
        <f t="shared" si="201"/>
        <v>157897.60000000001</v>
      </c>
      <c r="AG642" s="478">
        <f t="shared" si="197"/>
        <v>1</v>
      </c>
      <c r="AH642" s="110"/>
      <c r="AI642" s="110"/>
    </row>
    <row r="643" spans="1:3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X643" s="347" t="s">
        <v>62</v>
      </c>
      <c r="Y643" s="348" t="s">
        <v>440</v>
      </c>
      <c r="Z643" s="349" t="s">
        <v>8</v>
      </c>
      <c r="AA643" s="350" t="s">
        <v>29</v>
      </c>
      <c r="AB643" s="355" t="s">
        <v>482</v>
      </c>
      <c r="AC643" s="357">
        <v>610</v>
      </c>
      <c r="AD643" s="353">
        <f>157897.6</f>
        <v>157897.60000000001</v>
      </c>
      <c r="AE643" s="353">
        <f>157897.6</f>
        <v>157897.60000000001</v>
      </c>
      <c r="AF643" s="468">
        <v>157897.60000000001</v>
      </c>
      <c r="AG643" s="478">
        <f t="shared" si="197"/>
        <v>1</v>
      </c>
      <c r="AH643" s="110"/>
      <c r="AI643" s="110"/>
    </row>
    <row r="644" spans="1:35" ht="126" x14ac:dyDescent="0.25">
      <c r="X644" s="365" t="s">
        <v>546</v>
      </c>
      <c r="Y644" s="348" t="s">
        <v>440</v>
      </c>
      <c r="Z644" s="375" t="s">
        <v>8</v>
      </c>
      <c r="AA644" s="376" t="s">
        <v>29</v>
      </c>
      <c r="AB644" s="355" t="s">
        <v>503</v>
      </c>
      <c r="AC644" s="409"/>
      <c r="AD644" s="353">
        <f t="shared" ref="AD644:AF645" si="202">AD645</f>
        <v>279737</v>
      </c>
      <c r="AE644" s="353">
        <f t="shared" si="202"/>
        <v>279737</v>
      </c>
      <c r="AF644" s="468">
        <f t="shared" si="202"/>
        <v>279715.40000000002</v>
      </c>
      <c r="AG644" s="478">
        <f t="shared" si="197"/>
        <v>0.99992278461554973</v>
      </c>
      <c r="AH644" s="110"/>
      <c r="AI644" s="110"/>
    </row>
    <row r="645" spans="1:35" ht="31.5" x14ac:dyDescent="0.25">
      <c r="X645" s="347" t="s">
        <v>61</v>
      </c>
      <c r="Y645" s="371" t="s">
        <v>440</v>
      </c>
      <c r="Z645" s="375" t="s">
        <v>8</v>
      </c>
      <c r="AA645" s="376" t="s">
        <v>29</v>
      </c>
      <c r="AB645" s="355" t="s">
        <v>503</v>
      </c>
      <c r="AC645" s="352">
        <v>600</v>
      </c>
      <c r="AD645" s="353">
        <f t="shared" si="202"/>
        <v>279737</v>
      </c>
      <c r="AE645" s="353">
        <f t="shared" si="202"/>
        <v>279737</v>
      </c>
      <c r="AF645" s="468">
        <f t="shared" si="202"/>
        <v>279715.40000000002</v>
      </c>
      <c r="AG645" s="478">
        <f t="shared" si="197"/>
        <v>0.99992278461554973</v>
      </c>
      <c r="AH645" s="110"/>
      <c r="AI645" s="110"/>
    </row>
    <row r="646" spans="1:35" x14ac:dyDescent="0.25">
      <c r="X646" s="347" t="s">
        <v>62</v>
      </c>
      <c r="Y646" s="348" t="s">
        <v>440</v>
      </c>
      <c r="Z646" s="401" t="s">
        <v>8</v>
      </c>
      <c r="AA646" s="350" t="s">
        <v>29</v>
      </c>
      <c r="AB646" s="355" t="s">
        <v>503</v>
      </c>
      <c r="AC646" s="352">
        <v>610</v>
      </c>
      <c r="AD646" s="353">
        <f>202564+71324+4566+1556-273</f>
        <v>279737</v>
      </c>
      <c r="AE646" s="353">
        <f>202564+71324+4566+1556-273</f>
        <v>279737</v>
      </c>
      <c r="AF646" s="468">
        <v>279715.40000000002</v>
      </c>
      <c r="AG646" s="478">
        <f t="shared" si="197"/>
        <v>0.99992278461554973</v>
      </c>
      <c r="AH646" s="110"/>
      <c r="AI646" s="110"/>
    </row>
    <row r="647" spans="1:35" hidden="1" x14ac:dyDescent="0.25">
      <c r="X647" s="366" t="s">
        <v>344</v>
      </c>
      <c r="Y647" s="348" t="s">
        <v>440</v>
      </c>
      <c r="Z647" s="401" t="s">
        <v>8</v>
      </c>
      <c r="AA647" s="350" t="s">
        <v>29</v>
      </c>
      <c r="AB647" s="351" t="s">
        <v>138</v>
      </c>
      <c r="AC647" s="372"/>
      <c r="AD647" s="353">
        <f t="shared" ref="AD647:AE650" si="203">AD648</f>
        <v>0</v>
      </c>
      <c r="AE647" s="353">
        <f t="shared" si="203"/>
        <v>0</v>
      </c>
      <c r="AF647" s="468">
        <f t="shared" ref="AF647:AF650" si="204">AF648</f>
        <v>0</v>
      </c>
      <c r="AG647" s="478" t="e">
        <f t="shared" si="197"/>
        <v>#DIV/0!</v>
      </c>
      <c r="AH647" s="110"/>
      <c r="AI647" s="110"/>
    </row>
    <row r="648" spans="1:35" hidden="1" x14ac:dyDescent="0.25">
      <c r="X648" s="423" t="s">
        <v>453</v>
      </c>
      <c r="Y648" s="348" t="s">
        <v>440</v>
      </c>
      <c r="Z648" s="375" t="s">
        <v>8</v>
      </c>
      <c r="AA648" s="376" t="s">
        <v>29</v>
      </c>
      <c r="AB648" s="377" t="s">
        <v>454</v>
      </c>
      <c r="AC648" s="372"/>
      <c r="AD648" s="353">
        <f t="shared" si="203"/>
        <v>0</v>
      </c>
      <c r="AE648" s="353">
        <f t="shared" si="203"/>
        <v>0</v>
      </c>
      <c r="AF648" s="468">
        <f t="shared" si="204"/>
        <v>0</v>
      </c>
      <c r="AG648" s="478" t="e">
        <f t="shared" si="197"/>
        <v>#DIV/0!</v>
      </c>
      <c r="AH648" s="110"/>
      <c r="AI648" s="110"/>
    </row>
    <row r="649" spans="1:35" ht="97.15" hidden="1" customHeight="1" x14ac:dyDescent="0.25">
      <c r="X649" s="347" t="s">
        <v>460</v>
      </c>
      <c r="Y649" s="348" t="s">
        <v>440</v>
      </c>
      <c r="Z649" s="375" t="s">
        <v>8</v>
      </c>
      <c r="AA649" s="376" t="s">
        <v>29</v>
      </c>
      <c r="AB649" s="377" t="s">
        <v>461</v>
      </c>
      <c r="AC649" s="372"/>
      <c r="AD649" s="353">
        <f t="shared" si="203"/>
        <v>0</v>
      </c>
      <c r="AE649" s="353">
        <f t="shared" si="203"/>
        <v>0</v>
      </c>
      <c r="AF649" s="468">
        <f t="shared" si="204"/>
        <v>0</v>
      </c>
      <c r="AG649" s="478" t="e">
        <f t="shared" si="197"/>
        <v>#DIV/0!</v>
      </c>
      <c r="AH649" s="110"/>
      <c r="AI649" s="110"/>
    </row>
    <row r="650" spans="1:35" hidden="1" x14ac:dyDescent="0.25">
      <c r="X650" s="347" t="s">
        <v>42</v>
      </c>
      <c r="Y650" s="348" t="s">
        <v>440</v>
      </c>
      <c r="Z650" s="401" t="s">
        <v>8</v>
      </c>
      <c r="AA650" s="350" t="s">
        <v>29</v>
      </c>
      <c r="AB650" s="377" t="s">
        <v>461</v>
      </c>
      <c r="AC650" s="372" t="s">
        <v>363</v>
      </c>
      <c r="AD650" s="353">
        <f t="shared" si="203"/>
        <v>0</v>
      </c>
      <c r="AE650" s="353">
        <f t="shared" si="203"/>
        <v>0</v>
      </c>
      <c r="AF650" s="468">
        <f t="shared" si="204"/>
        <v>0</v>
      </c>
      <c r="AG650" s="478" t="e">
        <f t="shared" si="197"/>
        <v>#DIV/0!</v>
      </c>
      <c r="AH650" s="110"/>
      <c r="AI650" s="110"/>
    </row>
    <row r="651" spans="1:35" hidden="1" x14ac:dyDescent="0.25">
      <c r="X651" s="347" t="s">
        <v>58</v>
      </c>
      <c r="Y651" s="348" t="s">
        <v>440</v>
      </c>
      <c r="Z651" s="401" t="s">
        <v>8</v>
      </c>
      <c r="AA651" s="350" t="s">
        <v>29</v>
      </c>
      <c r="AB651" s="377" t="s">
        <v>461</v>
      </c>
      <c r="AC651" s="372" t="s">
        <v>455</v>
      </c>
      <c r="AD651" s="353">
        <f>104-104</f>
        <v>0</v>
      </c>
      <c r="AE651" s="353">
        <f>104-104</f>
        <v>0</v>
      </c>
      <c r="AF651" s="468">
        <v>0</v>
      </c>
      <c r="AG651" s="478" t="e">
        <f t="shared" si="197"/>
        <v>#DIV/0!</v>
      </c>
      <c r="AH651" s="110"/>
      <c r="AI651" s="110"/>
    </row>
    <row r="652" spans="1:35" ht="31.5" x14ac:dyDescent="0.25">
      <c r="X652" s="347" t="s">
        <v>687</v>
      </c>
      <c r="Y652" s="348" t="s">
        <v>440</v>
      </c>
      <c r="Z652" s="375" t="s">
        <v>8</v>
      </c>
      <c r="AA652" s="376" t="s">
        <v>29</v>
      </c>
      <c r="AB652" s="355" t="s">
        <v>686</v>
      </c>
      <c r="AC652" s="409"/>
      <c r="AD652" s="353">
        <f t="shared" ref="AD652:AF653" si="205">AD653</f>
        <v>400</v>
      </c>
      <c r="AE652" s="353">
        <f t="shared" si="205"/>
        <v>400</v>
      </c>
      <c r="AF652" s="468">
        <f t="shared" si="205"/>
        <v>100</v>
      </c>
      <c r="AG652" s="478">
        <f t="shared" si="197"/>
        <v>0.25</v>
      </c>
      <c r="AH652" s="110"/>
      <c r="AI652" s="110"/>
    </row>
    <row r="653" spans="1:35" ht="31.5" x14ac:dyDescent="0.25">
      <c r="X653" s="347" t="s">
        <v>61</v>
      </c>
      <c r="Y653" s="371" t="s">
        <v>440</v>
      </c>
      <c r="Z653" s="375" t="s">
        <v>8</v>
      </c>
      <c r="AA653" s="376" t="s">
        <v>29</v>
      </c>
      <c r="AB653" s="355" t="s">
        <v>686</v>
      </c>
      <c r="AC653" s="352">
        <v>600</v>
      </c>
      <c r="AD653" s="353">
        <f t="shared" si="205"/>
        <v>400</v>
      </c>
      <c r="AE653" s="353">
        <f t="shared" si="205"/>
        <v>400</v>
      </c>
      <c r="AF653" s="468">
        <f t="shared" si="205"/>
        <v>100</v>
      </c>
      <c r="AG653" s="478">
        <f t="shared" si="197"/>
        <v>0.25</v>
      </c>
      <c r="AH653" s="110"/>
      <c r="AI653" s="110"/>
    </row>
    <row r="654" spans="1:35" x14ac:dyDescent="0.25">
      <c r="X654" s="347" t="s">
        <v>62</v>
      </c>
      <c r="Y654" s="348" t="s">
        <v>440</v>
      </c>
      <c r="Z654" s="401" t="s">
        <v>8</v>
      </c>
      <c r="AA654" s="350" t="s">
        <v>29</v>
      </c>
      <c r="AB654" s="355" t="s">
        <v>686</v>
      </c>
      <c r="AC654" s="352">
        <v>610</v>
      </c>
      <c r="AD654" s="353">
        <f>100+300</f>
        <v>400</v>
      </c>
      <c r="AE654" s="353">
        <f>100+300</f>
        <v>400</v>
      </c>
      <c r="AF654" s="468">
        <v>100</v>
      </c>
      <c r="AG654" s="478">
        <f t="shared" si="197"/>
        <v>0.25</v>
      </c>
      <c r="AH654" s="110"/>
      <c r="AI654" s="110"/>
    </row>
    <row r="655" spans="1:35" ht="47.25" x14ac:dyDescent="0.25">
      <c r="X655" s="356" t="s">
        <v>276</v>
      </c>
      <c r="Y655" s="348" t="s">
        <v>440</v>
      </c>
      <c r="Z655" s="401" t="s">
        <v>8</v>
      </c>
      <c r="AA655" s="350" t="s">
        <v>29</v>
      </c>
      <c r="AB655" s="355" t="s">
        <v>126</v>
      </c>
      <c r="AC655" s="352"/>
      <c r="AD655" s="353">
        <f t="shared" ref="AD655:AF657" si="206">AD656</f>
        <v>1460</v>
      </c>
      <c r="AE655" s="353">
        <f t="shared" si="206"/>
        <v>1460</v>
      </c>
      <c r="AF655" s="468">
        <f t="shared" si="206"/>
        <v>837.6</v>
      </c>
      <c r="AG655" s="478">
        <f t="shared" si="197"/>
        <v>0.5736986301369863</v>
      </c>
      <c r="AH655" s="110"/>
      <c r="AI655" s="110"/>
    </row>
    <row r="656" spans="1:35" ht="63" x14ac:dyDescent="0.25">
      <c r="X656" s="347" t="s">
        <v>730</v>
      </c>
      <c r="Y656" s="348" t="s">
        <v>440</v>
      </c>
      <c r="Z656" s="401" t="s">
        <v>8</v>
      </c>
      <c r="AA656" s="350" t="s">
        <v>29</v>
      </c>
      <c r="AB656" s="355" t="s">
        <v>731</v>
      </c>
      <c r="AC656" s="352"/>
      <c r="AD656" s="353">
        <f t="shared" si="206"/>
        <v>1460</v>
      </c>
      <c r="AE656" s="353">
        <f t="shared" si="206"/>
        <v>1460</v>
      </c>
      <c r="AF656" s="468">
        <f t="shared" si="206"/>
        <v>837.6</v>
      </c>
      <c r="AG656" s="478">
        <f t="shared" si="197"/>
        <v>0.5736986301369863</v>
      </c>
      <c r="AH656" s="110"/>
      <c r="AI656" s="110"/>
    </row>
    <row r="657" spans="1:36" ht="31.5" x14ac:dyDescent="0.25">
      <c r="X657" s="347" t="s">
        <v>61</v>
      </c>
      <c r="Y657" s="348" t="s">
        <v>440</v>
      </c>
      <c r="Z657" s="401" t="s">
        <v>8</v>
      </c>
      <c r="AA657" s="350" t="s">
        <v>29</v>
      </c>
      <c r="AB657" s="355" t="s">
        <v>731</v>
      </c>
      <c r="AC657" s="352">
        <v>600</v>
      </c>
      <c r="AD657" s="353">
        <f t="shared" si="206"/>
        <v>1460</v>
      </c>
      <c r="AE657" s="353">
        <f t="shared" si="206"/>
        <v>1460</v>
      </c>
      <c r="AF657" s="468">
        <f t="shared" si="206"/>
        <v>837.6</v>
      </c>
      <c r="AG657" s="478">
        <f t="shared" si="197"/>
        <v>0.5736986301369863</v>
      </c>
      <c r="AH657" s="110"/>
      <c r="AI657" s="110"/>
    </row>
    <row r="658" spans="1:36" x14ac:dyDescent="0.25">
      <c r="X658" s="347" t="s">
        <v>62</v>
      </c>
      <c r="Y658" s="348" t="s">
        <v>440</v>
      </c>
      <c r="Z658" s="401" t="s">
        <v>8</v>
      </c>
      <c r="AA658" s="350" t="s">
        <v>29</v>
      </c>
      <c r="AB658" s="355" t="s">
        <v>731</v>
      </c>
      <c r="AC658" s="352">
        <v>610</v>
      </c>
      <c r="AD658" s="353">
        <v>1460</v>
      </c>
      <c r="AE658" s="353">
        <v>1460</v>
      </c>
      <c r="AF658" s="468">
        <v>837.6</v>
      </c>
      <c r="AG658" s="478">
        <f t="shared" si="197"/>
        <v>0.5736986301369863</v>
      </c>
      <c r="AH658" s="110"/>
      <c r="AI658" s="110"/>
    </row>
    <row r="659" spans="1:36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X659" s="347" t="s">
        <v>34</v>
      </c>
      <c r="Y659" s="371" t="s">
        <v>440</v>
      </c>
      <c r="Z659" s="401" t="s">
        <v>8</v>
      </c>
      <c r="AA659" s="350" t="s">
        <v>30</v>
      </c>
      <c r="AB659" s="351"/>
      <c r="AC659" s="352"/>
      <c r="AD659" s="353">
        <f>AD660+AD699+AI7089+AD715+AD721</f>
        <v>717397.6</v>
      </c>
      <c r="AE659" s="353">
        <f>AE660+AE699+AJ7089+AE715+AE721</f>
        <v>717397.6</v>
      </c>
      <c r="AF659" s="353">
        <f>AF660+AF699+AK7089+AF715+AF721</f>
        <v>710118.79999999993</v>
      </c>
      <c r="AG659" s="478">
        <f t="shared" si="197"/>
        <v>0.98985388297925714</v>
      </c>
      <c r="AH659" s="161"/>
      <c r="AI659" s="161"/>
      <c r="AJ659" s="161"/>
    </row>
    <row r="660" spans="1:36" x14ac:dyDescent="0.25">
      <c r="X660" s="356" t="s">
        <v>270</v>
      </c>
      <c r="Y660" s="348" t="s">
        <v>440</v>
      </c>
      <c r="Z660" s="401" t="s">
        <v>8</v>
      </c>
      <c r="AA660" s="350" t="s">
        <v>30</v>
      </c>
      <c r="AB660" s="355" t="s">
        <v>101</v>
      </c>
      <c r="AC660" s="357"/>
      <c r="AD660" s="353">
        <f>AD661</f>
        <v>703483.6</v>
      </c>
      <c r="AE660" s="353">
        <f t="shared" ref="AE660:AF660" si="207">AE661</f>
        <v>703483.6</v>
      </c>
      <c r="AF660" s="353">
        <f t="shared" si="207"/>
        <v>696209.29999999993</v>
      </c>
      <c r="AG660" s="478">
        <f t="shared" si="197"/>
        <v>0.98965960258348584</v>
      </c>
    </row>
    <row r="661" spans="1:36" x14ac:dyDescent="0.25">
      <c r="X661" s="356" t="s">
        <v>273</v>
      </c>
      <c r="Y661" s="348" t="s">
        <v>440</v>
      </c>
      <c r="Z661" s="349" t="s">
        <v>8</v>
      </c>
      <c r="AA661" s="350" t="s">
        <v>30</v>
      </c>
      <c r="AB661" s="355" t="s">
        <v>118</v>
      </c>
      <c r="AC661" s="357"/>
      <c r="AD661" s="353">
        <f>AD662+AD685+AD695+AD711+AD707</f>
        <v>703483.6</v>
      </c>
      <c r="AE661" s="353">
        <f>AE662+AE685+AE695+AE711+AE707</f>
        <v>703483.6</v>
      </c>
      <c r="AF661" s="353">
        <f>AF662+AF685+AF695+AF711+AF707</f>
        <v>696209.29999999993</v>
      </c>
      <c r="AG661" s="478">
        <f t="shared" si="197"/>
        <v>0.98965960258348584</v>
      </c>
    </row>
    <row r="662" spans="1:36" ht="31.5" x14ac:dyDescent="0.25">
      <c r="X662" s="356" t="s">
        <v>274</v>
      </c>
      <c r="Y662" s="371" t="s">
        <v>440</v>
      </c>
      <c r="Z662" s="349" t="s">
        <v>8</v>
      </c>
      <c r="AA662" s="350" t="s">
        <v>30</v>
      </c>
      <c r="AB662" s="355" t="s">
        <v>478</v>
      </c>
      <c r="AC662" s="357"/>
      <c r="AD662" s="353">
        <f>AD666+AD673+AD678+AD682+AD663+AD679</f>
        <v>632363.9</v>
      </c>
      <c r="AE662" s="353">
        <f>AE666+AE673+AE678+AE682+AE663+AE679</f>
        <v>632363.9</v>
      </c>
      <c r="AF662" s="468">
        <f>AF666+AF673+AF678+AF682+AF663+AF679</f>
        <v>630800.19999999995</v>
      </c>
      <c r="AG662" s="478">
        <f t="shared" si="197"/>
        <v>0.99752721494696317</v>
      </c>
    </row>
    <row r="663" spans="1:36" ht="31.5" x14ac:dyDescent="0.25">
      <c r="X663" s="356" t="s">
        <v>722</v>
      </c>
      <c r="Y663" s="348">
        <v>901</v>
      </c>
      <c r="Z663" s="401" t="s">
        <v>8</v>
      </c>
      <c r="AA663" s="350" t="s">
        <v>30</v>
      </c>
      <c r="AB663" s="355" t="s">
        <v>724</v>
      </c>
      <c r="AC663" s="373"/>
      <c r="AD663" s="353">
        <f t="shared" ref="AD663:AF664" si="208">AD664</f>
        <v>28095.4</v>
      </c>
      <c r="AE663" s="353">
        <f t="shared" si="208"/>
        <v>28095.4</v>
      </c>
      <c r="AF663" s="468">
        <f t="shared" si="208"/>
        <v>27633</v>
      </c>
      <c r="AG663" s="478">
        <f t="shared" si="197"/>
        <v>0.98354178975917761</v>
      </c>
    </row>
    <row r="664" spans="1:36" ht="31.5" x14ac:dyDescent="0.25">
      <c r="X664" s="347" t="s">
        <v>61</v>
      </c>
      <c r="Y664" s="348">
        <v>901</v>
      </c>
      <c r="Z664" s="401" t="s">
        <v>8</v>
      </c>
      <c r="AA664" s="350" t="s">
        <v>30</v>
      </c>
      <c r="AB664" s="355" t="s">
        <v>724</v>
      </c>
      <c r="AC664" s="357">
        <v>600</v>
      </c>
      <c r="AD664" s="353">
        <f t="shared" si="208"/>
        <v>28095.4</v>
      </c>
      <c r="AE664" s="353">
        <f t="shared" si="208"/>
        <v>28095.4</v>
      </c>
      <c r="AF664" s="468">
        <f t="shared" si="208"/>
        <v>27633</v>
      </c>
      <c r="AG664" s="478">
        <f t="shared" si="197"/>
        <v>0.98354178975917761</v>
      </c>
    </row>
    <row r="665" spans="1:36" x14ac:dyDescent="0.25">
      <c r="X665" s="347" t="s">
        <v>62</v>
      </c>
      <c r="Y665" s="348">
        <v>901</v>
      </c>
      <c r="Z665" s="349" t="s">
        <v>8</v>
      </c>
      <c r="AA665" s="350" t="s">
        <v>30</v>
      </c>
      <c r="AB665" s="355" t="s">
        <v>724</v>
      </c>
      <c r="AC665" s="357">
        <v>610</v>
      </c>
      <c r="AD665" s="353">
        <f>6000+5000+5800+2000+2000+7295.4</f>
        <v>28095.4</v>
      </c>
      <c r="AE665" s="353">
        <f>6000+5000+5800+2000+2000+7295.4</f>
        <v>28095.4</v>
      </c>
      <c r="AF665" s="468">
        <v>27633</v>
      </c>
      <c r="AG665" s="478">
        <f t="shared" si="197"/>
        <v>0.98354178975917761</v>
      </c>
    </row>
    <row r="666" spans="1:36" ht="47.2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X666" s="356" t="s">
        <v>465</v>
      </c>
      <c r="Y666" s="371" t="s">
        <v>440</v>
      </c>
      <c r="Z666" s="349" t="s">
        <v>8</v>
      </c>
      <c r="AA666" s="350" t="s">
        <v>30</v>
      </c>
      <c r="AB666" s="355" t="s">
        <v>500</v>
      </c>
      <c r="AC666" s="357"/>
      <c r="AD666" s="353">
        <f>AD667+AD670</f>
        <v>87403.3</v>
      </c>
      <c r="AE666" s="353">
        <f>AE667+AE670</f>
        <v>87403.3</v>
      </c>
      <c r="AF666" s="468">
        <f>AF667+AF670</f>
        <v>86594</v>
      </c>
      <c r="AG666" s="478">
        <f t="shared" si="197"/>
        <v>0.99074062420984099</v>
      </c>
      <c r="AI666" s="3"/>
    </row>
    <row r="667" spans="1:36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X667" s="356" t="s">
        <v>543</v>
      </c>
      <c r="Y667" s="348" t="s">
        <v>440</v>
      </c>
      <c r="Z667" s="349" t="s">
        <v>8</v>
      </c>
      <c r="AA667" s="350" t="s">
        <v>30</v>
      </c>
      <c r="AB667" s="355" t="s">
        <v>501</v>
      </c>
      <c r="AC667" s="409"/>
      <c r="AD667" s="353">
        <f>AD668</f>
        <v>79269.2</v>
      </c>
      <c r="AE667" s="353">
        <f>AE668</f>
        <v>79269.2</v>
      </c>
      <c r="AF667" s="468">
        <f>AF668</f>
        <v>78589.3</v>
      </c>
      <c r="AG667" s="478">
        <f t="shared" si="197"/>
        <v>0.99142289817482709</v>
      </c>
      <c r="AI667" s="3"/>
    </row>
    <row r="668" spans="1:36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X668" s="347" t="s">
        <v>61</v>
      </c>
      <c r="Y668" s="348" t="s">
        <v>440</v>
      </c>
      <c r="Z668" s="349" t="s">
        <v>8</v>
      </c>
      <c r="AA668" s="350" t="s">
        <v>30</v>
      </c>
      <c r="AB668" s="355" t="s">
        <v>501</v>
      </c>
      <c r="AC668" s="357">
        <v>600</v>
      </c>
      <c r="AD668" s="353">
        <f t="shared" ref="AD668:AF671" si="209">AD669</f>
        <v>79269.2</v>
      </c>
      <c r="AE668" s="353">
        <f t="shared" si="209"/>
        <v>79269.2</v>
      </c>
      <c r="AF668" s="468">
        <f t="shared" si="209"/>
        <v>78589.3</v>
      </c>
      <c r="AG668" s="478">
        <f t="shared" si="197"/>
        <v>0.99142289817482709</v>
      </c>
      <c r="AI668" s="3"/>
    </row>
    <row r="669" spans="1:36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X669" s="347" t="s">
        <v>62</v>
      </c>
      <c r="Y669" s="348" t="s">
        <v>440</v>
      </c>
      <c r="Z669" s="349" t="s">
        <v>8</v>
      </c>
      <c r="AA669" s="350" t="s">
        <v>30</v>
      </c>
      <c r="AB669" s="355" t="s">
        <v>501</v>
      </c>
      <c r="AC669" s="357">
        <v>610</v>
      </c>
      <c r="AD669" s="353">
        <f>77969.2+1300</f>
        <v>79269.2</v>
      </c>
      <c r="AE669" s="353">
        <f>77969.2+1300</f>
        <v>79269.2</v>
      </c>
      <c r="AF669" s="468">
        <v>78589.3</v>
      </c>
      <c r="AG669" s="478">
        <f t="shared" si="197"/>
        <v>0.99142289817482709</v>
      </c>
      <c r="AI669" s="3"/>
    </row>
    <row r="670" spans="1:36" ht="47.2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X670" s="347" t="s">
        <v>544</v>
      </c>
      <c r="Y670" s="348" t="s">
        <v>440</v>
      </c>
      <c r="Z670" s="349" t="s">
        <v>8</v>
      </c>
      <c r="AA670" s="350" t="s">
        <v>30</v>
      </c>
      <c r="AB670" s="355" t="s">
        <v>502</v>
      </c>
      <c r="AC670" s="357"/>
      <c r="AD670" s="353">
        <f>AD671</f>
        <v>8134.1</v>
      </c>
      <c r="AE670" s="353">
        <f>AE671</f>
        <v>8134.1</v>
      </c>
      <c r="AF670" s="468">
        <f>AF671</f>
        <v>8004.7</v>
      </c>
      <c r="AG670" s="478">
        <f t="shared" si="197"/>
        <v>0.98409166349073651</v>
      </c>
      <c r="AI670" s="3"/>
    </row>
    <row r="671" spans="1:36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X671" s="347" t="s">
        <v>61</v>
      </c>
      <c r="Y671" s="348" t="s">
        <v>440</v>
      </c>
      <c r="Z671" s="349" t="s">
        <v>8</v>
      </c>
      <c r="AA671" s="350" t="s">
        <v>30</v>
      </c>
      <c r="AB671" s="355" t="s">
        <v>502</v>
      </c>
      <c r="AC671" s="357">
        <v>600</v>
      </c>
      <c r="AD671" s="353">
        <f t="shared" si="209"/>
        <v>8134.1</v>
      </c>
      <c r="AE671" s="353">
        <f t="shared" si="209"/>
        <v>8134.1</v>
      </c>
      <c r="AF671" s="468">
        <f t="shared" si="209"/>
        <v>8004.7</v>
      </c>
      <c r="AG671" s="478">
        <f t="shared" si="197"/>
        <v>0.98409166349073651</v>
      </c>
      <c r="AI671" s="3"/>
    </row>
    <row r="672" spans="1:3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X672" s="347" t="s">
        <v>62</v>
      </c>
      <c r="Y672" s="348" t="s">
        <v>440</v>
      </c>
      <c r="Z672" s="349" t="s">
        <v>8</v>
      </c>
      <c r="AA672" s="350" t="s">
        <v>30</v>
      </c>
      <c r="AB672" s="355" t="s">
        <v>502</v>
      </c>
      <c r="AC672" s="357">
        <v>610</v>
      </c>
      <c r="AD672" s="353">
        <f>834.1+5500+500+500+500+300</f>
        <v>8134.1</v>
      </c>
      <c r="AE672" s="353">
        <f>834.1+5500+500+500+500+300</f>
        <v>8134.1</v>
      </c>
      <c r="AF672" s="468">
        <v>8004.7</v>
      </c>
      <c r="AG672" s="478">
        <f t="shared" si="197"/>
        <v>0.98409166349073651</v>
      </c>
      <c r="AH672" s="206"/>
      <c r="AI672" s="3"/>
    </row>
    <row r="673" spans="24:34" s="3" customFormat="1" ht="126" x14ac:dyDescent="0.25">
      <c r="X673" s="365" t="s">
        <v>546</v>
      </c>
      <c r="Y673" s="348" t="s">
        <v>440</v>
      </c>
      <c r="Z673" s="349" t="s">
        <v>8</v>
      </c>
      <c r="AA673" s="350" t="s">
        <v>30</v>
      </c>
      <c r="AB673" s="351" t="s">
        <v>503</v>
      </c>
      <c r="AC673" s="352"/>
      <c r="AD673" s="353">
        <f t="shared" ref="AD673:AF674" si="210">AD674</f>
        <v>481329</v>
      </c>
      <c r="AE673" s="353">
        <f t="shared" si="210"/>
        <v>481329</v>
      </c>
      <c r="AF673" s="468">
        <f t="shared" si="210"/>
        <v>481287</v>
      </c>
      <c r="AG673" s="478">
        <f t="shared" si="197"/>
        <v>0.99991274159670418</v>
      </c>
      <c r="AH673" s="19"/>
    </row>
    <row r="674" spans="24:34" s="3" customFormat="1" ht="31.5" x14ac:dyDescent="0.25">
      <c r="X674" s="347" t="s">
        <v>61</v>
      </c>
      <c r="Y674" s="348" t="s">
        <v>440</v>
      </c>
      <c r="Z674" s="349" t="s">
        <v>8</v>
      </c>
      <c r="AA674" s="350" t="s">
        <v>30</v>
      </c>
      <c r="AB674" s="351" t="s">
        <v>503</v>
      </c>
      <c r="AC674" s="357">
        <v>600</v>
      </c>
      <c r="AD674" s="353">
        <f t="shared" si="210"/>
        <v>481329</v>
      </c>
      <c r="AE674" s="353">
        <f t="shared" si="210"/>
        <v>481329</v>
      </c>
      <c r="AF674" s="468">
        <f t="shared" si="210"/>
        <v>481287</v>
      </c>
      <c r="AG674" s="478">
        <f t="shared" si="197"/>
        <v>0.99991274159670418</v>
      </c>
      <c r="AH674" s="19"/>
    </row>
    <row r="675" spans="24:34" s="3" customFormat="1" x14ac:dyDescent="0.25">
      <c r="X675" s="347" t="s">
        <v>62</v>
      </c>
      <c r="Y675" s="348" t="s">
        <v>440</v>
      </c>
      <c r="Z675" s="349" t="s">
        <v>8</v>
      </c>
      <c r="AA675" s="350" t="s">
        <v>30</v>
      </c>
      <c r="AB675" s="351" t="s">
        <v>503</v>
      </c>
      <c r="AC675" s="357">
        <v>610</v>
      </c>
      <c r="AD675" s="353">
        <f>361342+83451+19990+5497+9150+1899</f>
        <v>481329</v>
      </c>
      <c r="AE675" s="353">
        <f>361342+83451+19990+5497+9150+1899</f>
        <v>481329</v>
      </c>
      <c r="AF675" s="468">
        <v>481287</v>
      </c>
      <c r="AG675" s="478">
        <f t="shared" si="197"/>
        <v>0.99991274159670418</v>
      </c>
      <c r="AH675" s="19"/>
    </row>
    <row r="676" spans="24:34" s="3" customFormat="1" ht="31.5" x14ac:dyDescent="0.25">
      <c r="X676" s="347" t="s">
        <v>687</v>
      </c>
      <c r="Y676" s="348" t="s">
        <v>440</v>
      </c>
      <c r="Z676" s="349" t="s">
        <v>8</v>
      </c>
      <c r="AA676" s="350" t="s">
        <v>30</v>
      </c>
      <c r="AB676" s="355" t="s">
        <v>686</v>
      </c>
      <c r="AC676" s="409"/>
      <c r="AD676" s="353">
        <f t="shared" ref="AD676:AF677" si="211">AD677</f>
        <v>850</v>
      </c>
      <c r="AE676" s="353">
        <f t="shared" si="211"/>
        <v>850</v>
      </c>
      <c r="AF676" s="468">
        <f t="shared" si="211"/>
        <v>600</v>
      </c>
      <c r="AG676" s="478">
        <f t="shared" si="197"/>
        <v>0.70588235294117652</v>
      </c>
      <c r="AH676" s="19"/>
    </row>
    <row r="677" spans="24:34" s="3" customFormat="1" ht="31.5" x14ac:dyDescent="0.25">
      <c r="X677" s="347" t="s">
        <v>61</v>
      </c>
      <c r="Y677" s="371" t="s">
        <v>440</v>
      </c>
      <c r="Z677" s="349" t="s">
        <v>8</v>
      </c>
      <c r="AA677" s="350" t="s">
        <v>30</v>
      </c>
      <c r="AB677" s="355" t="s">
        <v>686</v>
      </c>
      <c r="AC677" s="352">
        <v>600</v>
      </c>
      <c r="AD677" s="353">
        <f t="shared" si="211"/>
        <v>850</v>
      </c>
      <c r="AE677" s="353">
        <f t="shared" si="211"/>
        <v>850</v>
      </c>
      <c r="AF677" s="468">
        <f t="shared" si="211"/>
        <v>600</v>
      </c>
      <c r="AG677" s="478">
        <f t="shared" si="197"/>
        <v>0.70588235294117652</v>
      </c>
      <c r="AH677" s="19"/>
    </row>
    <row r="678" spans="24:34" s="3" customFormat="1" x14ac:dyDescent="0.25">
      <c r="X678" s="347" t="s">
        <v>62</v>
      </c>
      <c r="Y678" s="348" t="s">
        <v>440</v>
      </c>
      <c r="Z678" s="349" t="s">
        <v>8</v>
      </c>
      <c r="AA678" s="350" t="s">
        <v>30</v>
      </c>
      <c r="AB678" s="355" t="s">
        <v>686</v>
      </c>
      <c r="AC678" s="352">
        <v>610</v>
      </c>
      <c r="AD678" s="353">
        <f>600+250</f>
        <v>850</v>
      </c>
      <c r="AE678" s="353">
        <f>600+250</f>
        <v>850</v>
      </c>
      <c r="AF678" s="468">
        <v>600</v>
      </c>
      <c r="AG678" s="478">
        <f t="shared" si="197"/>
        <v>0.70588235294117652</v>
      </c>
      <c r="AH678" s="19"/>
    </row>
    <row r="679" spans="24:34" s="3" customFormat="1" ht="94.5" x14ac:dyDescent="0.25">
      <c r="X679" s="347" t="s">
        <v>792</v>
      </c>
      <c r="Y679" s="348" t="s">
        <v>440</v>
      </c>
      <c r="Z679" s="349" t="s">
        <v>8</v>
      </c>
      <c r="AA679" s="350" t="s">
        <v>30</v>
      </c>
      <c r="AB679" s="351" t="s">
        <v>793</v>
      </c>
      <c r="AC679" s="357"/>
      <c r="AD679" s="353">
        <f t="shared" ref="AD679:AF680" si="212">AD680</f>
        <v>104.2</v>
      </c>
      <c r="AE679" s="353">
        <f t="shared" si="212"/>
        <v>104.2</v>
      </c>
      <c r="AF679" s="468">
        <f t="shared" si="212"/>
        <v>104.2</v>
      </c>
      <c r="AG679" s="478">
        <f t="shared" si="197"/>
        <v>1</v>
      </c>
      <c r="AH679" s="19"/>
    </row>
    <row r="680" spans="24:34" s="3" customFormat="1" ht="31.5" x14ac:dyDescent="0.25">
      <c r="X680" s="347" t="s">
        <v>61</v>
      </c>
      <c r="Y680" s="348" t="s">
        <v>440</v>
      </c>
      <c r="Z680" s="349" t="s">
        <v>8</v>
      </c>
      <c r="AA680" s="350" t="s">
        <v>30</v>
      </c>
      <c r="AB680" s="351" t="s">
        <v>793</v>
      </c>
      <c r="AC680" s="357">
        <v>600</v>
      </c>
      <c r="AD680" s="353">
        <f t="shared" si="212"/>
        <v>104.2</v>
      </c>
      <c r="AE680" s="353">
        <f t="shared" si="212"/>
        <v>104.2</v>
      </c>
      <c r="AF680" s="468">
        <f t="shared" si="212"/>
        <v>104.2</v>
      </c>
      <c r="AG680" s="478">
        <f t="shared" si="197"/>
        <v>1</v>
      </c>
      <c r="AH680" s="19"/>
    </row>
    <row r="681" spans="24:34" s="3" customFormat="1" x14ac:dyDescent="0.25">
      <c r="X681" s="347" t="s">
        <v>62</v>
      </c>
      <c r="Y681" s="348" t="s">
        <v>440</v>
      </c>
      <c r="Z681" s="349" t="s">
        <v>8</v>
      </c>
      <c r="AA681" s="350" t="s">
        <v>30</v>
      </c>
      <c r="AB681" s="351" t="s">
        <v>793</v>
      </c>
      <c r="AC681" s="357">
        <v>610</v>
      </c>
      <c r="AD681" s="353">
        <v>104.2</v>
      </c>
      <c r="AE681" s="353">
        <v>104.2</v>
      </c>
      <c r="AF681" s="468">
        <v>104.2</v>
      </c>
      <c r="AG681" s="478">
        <f t="shared" si="197"/>
        <v>1</v>
      </c>
      <c r="AH681" s="19"/>
    </row>
    <row r="682" spans="24:34" s="3" customFormat="1" ht="157.5" x14ac:dyDescent="0.25">
      <c r="X682" s="347" t="s">
        <v>547</v>
      </c>
      <c r="Y682" s="348" t="s">
        <v>440</v>
      </c>
      <c r="Z682" s="349" t="s">
        <v>8</v>
      </c>
      <c r="AA682" s="350" t="s">
        <v>30</v>
      </c>
      <c r="AB682" s="351" t="s">
        <v>705</v>
      </c>
      <c r="AC682" s="357"/>
      <c r="AD682" s="353">
        <f t="shared" ref="AD682:AF683" si="213">AD683</f>
        <v>34582</v>
      </c>
      <c r="AE682" s="353">
        <f t="shared" si="213"/>
        <v>34582</v>
      </c>
      <c r="AF682" s="468">
        <f t="shared" si="213"/>
        <v>34582</v>
      </c>
      <c r="AG682" s="478">
        <f t="shared" si="197"/>
        <v>1</v>
      </c>
      <c r="AH682" s="19"/>
    </row>
    <row r="683" spans="24:34" s="3" customFormat="1" ht="31.5" x14ac:dyDescent="0.25">
      <c r="X683" s="347" t="s">
        <v>61</v>
      </c>
      <c r="Y683" s="348" t="s">
        <v>440</v>
      </c>
      <c r="Z683" s="349" t="s">
        <v>8</v>
      </c>
      <c r="AA683" s="350" t="s">
        <v>30</v>
      </c>
      <c r="AB683" s="351" t="s">
        <v>705</v>
      </c>
      <c r="AC683" s="357">
        <v>600</v>
      </c>
      <c r="AD683" s="353">
        <f t="shared" si="213"/>
        <v>34582</v>
      </c>
      <c r="AE683" s="353">
        <f t="shared" si="213"/>
        <v>34582</v>
      </c>
      <c r="AF683" s="468">
        <f t="shared" si="213"/>
        <v>34582</v>
      </c>
      <c r="AG683" s="478">
        <f t="shared" si="197"/>
        <v>1</v>
      </c>
      <c r="AH683" s="19"/>
    </row>
    <row r="684" spans="24:34" s="3" customFormat="1" x14ac:dyDescent="0.25">
      <c r="X684" s="347" t="s">
        <v>62</v>
      </c>
      <c r="Y684" s="348" t="s">
        <v>440</v>
      </c>
      <c r="Z684" s="349" t="s">
        <v>8</v>
      </c>
      <c r="AA684" s="350" t="s">
        <v>30</v>
      </c>
      <c r="AB684" s="351" t="s">
        <v>705</v>
      </c>
      <c r="AC684" s="357">
        <v>610</v>
      </c>
      <c r="AD684" s="353">
        <f>18827+3043+12712</f>
        <v>34582</v>
      </c>
      <c r="AE684" s="353">
        <f>18827+3043+12712</f>
        <v>34582</v>
      </c>
      <c r="AF684" s="468">
        <v>34582</v>
      </c>
      <c r="AG684" s="478">
        <f t="shared" si="197"/>
        <v>1</v>
      </c>
      <c r="AH684" s="19"/>
    </row>
    <row r="685" spans="24:34" s="3" customFormat="1" ht="47.25" x14ac:dyDescent="0.25">
      <c r="X685" s="356" t="s">
        <v>276</v>
      </c>
      <c r="Y685" s="348" t="s">
        <v>440</v>
      </c>
      <c r="Z685" s="349" t="s">
        <v>8</v>
      </c>
      <c r="AA685" s="350" t="s">
        <v>30</v>
      </c>
      <c r="AB685" s="355" t="s">
        <v>126</v>
      </c>
      <c r="AC685" s="357"/>
      <c r="AD685" s="353">
        <f>AD692+AD686+AD689</f>
        <v>48265.500000000007</v>
      </c>
      <c r="AE685" s="353">
        <f t="shared" ref="AE685:AF685" si="214">AE692+AE686+AE689</f>
        <v>48265.500000000007</v>
      </c>
      <c r="AF685" s="353">
        <f t="shared" si="214"/>
        <v>47631.899999999994</v>
      </c>
      <c r="AG685" s="478">
        <f t="shared" si="197"/>
        <v>0.98687261087111888</v>
      </c>
    </row>
    <row r="686" spans="24:34" s="3" customFormat="1" ht="31.5" x14ac:dyDescent="0.25">
      <c r="X686" s="347" t="s">
        <v>545</v>
      </c>
      <c r="Y686" s="348" t="s">
        <v>440</v>
      </c>
      <c r="Z686" s="349" t="s">
        <v>8</v>
      </c>
      <c r="AA686" s="350" t="s">
        <v>30</v>
      </c>
      <c r="AB686" s="355" t="s">
        <v>504</v>
      </c>
      <c r="AC686" s="357"/>
      <c r="AD686" s="353">
        <f t="shared" ref="AD686:AF687" si="215">AD687</f>
        <v>9</v>
      </c>
      <c r="AE686" s="353">
        <f t="shared" si="215"/>
        <v>9</v>
      </c>
      <c r="AF686" s="468">
        <f t="shared" si="215"/>
        <v>6.5</v>
      </c>
      <c r="AG686" s="478">
        <f t="shared" si="197"/>
        <v>0.72222222222222221</v>
      </c>
    </row>
    <row r="687" spans="24:34" s="3" customFormat="1" ht="31.5" x14ac:dyDescent="0.25">
      <c r="X687" s="347" t="s">
        <v>61</v>
      </c>
      <c r="Y687" s="348" t="s">
        <v>440</v>
      </c>
      <c r="Z687" s="349" t="s">
        <v>8</v>
      </c>
      <c r="AA687" s="350" t="s">
        <v>30</v>
      </c>
      <c r="AB687" s="355" t="s">
        <v>504</v>
      </c>
      <c r="AC687" s="352">
        <v>600</v>
      </c>
      <c r="AD687" s="353">
        <f t="shared" si="215"/>
        <v>9</v>
      </c>
      <c r="AE687" s="353">
        <f t="shared" si="215"/>
        <v>9</v>
      </c>
      <c r="AF687" s="468">
        <f t="shared" si="215"/>
        <v>6.5</v>
      </c>
      <c r="AG687" s="478">
        <f t="shared" si="197"/>
        <v>0.72222222222222221</v>
      </c>
    </row>
    <row r="688" spans="24:34" s="3" customFormat="1" x14ac:dyDescent="0.25">
      <c r="X688" s="347" t="s">
        <v>62</v>
      </c>
      <c r="Y688" s="348" t="s">
        <v>440</v>
      </c>
      <c r="Z688" s="349" t="s">
        <v>8</v>
      </c>
      <c r="AA688" s="350" t="s">
        <v>30</v>
      </c>
      <c r="AB688" s="355" t="s">
        <v>504</v>
      </c>
      <c r="AC688" s="352">
        <v>610</v>
      </c>
      <c r="AD688" s="353">
        <f>12+1-4</f>
        <v>9</v>
      </c>
      <c r="AE688" s="353">
        <f>12+1-4</f>
        <v>9</v>
      </c>
      <c r="AF688" s="468">
        <v>6.5</v>
      </c>
      <c r="AG688" s="478">
        <f t="shared" si="197"/>
        <v>0.72222222222222221</v>
      </c>
    </row>
    <row r="689" spans="24:33" s="3" customFormat="1" ht="31.5" x14ac:dyDescent="0.25">
      <c r="X689" s="347" t="s">
        <v>548</v>
      </c>
      <c r="Y689" s="348" t="s">
        <v>440</v>
      </c>
      <c r="Z689" s="349" t="s">
        <v>8</v>
      </c>
      <c r="AA689" s="350" t="s">
        <v>30</v>
      </c>
      <c r="AB689" s="351" t="s">
        <v>505</v>
      </c>
      <c r="AC689" s="357"/>
      <c r="AD689" s="353">
        <f t="shared" ref="AD689:AF690" si="216">AD690</f>
        <v>30036.500000000007</v>
      </c>
      <c r="AE689" s="353">
        <f t="shared" si="216"/>
        <v>30036.500000000007</v>
      </c>
      <c r="AF689" s="468">
        <f t="shared" si="216"/>
        <v>30036.6</v>
      </c>
      <c r="AG689" s="478">
        <f t="shared" si="197"/>
        <v>1.0000033292827057</v>
      </c>
    </row>
    <row r="690" spans="24:33" s="3" customFormat="1" x14ac:dyDescent="0.25">
      <c r="X690" s="347" t="s">
        <v>121</v>
      </c>
      <c r="Y690" s="348" t="s">
        <v>440</v>
      </c>
      <c r="Z690" s="349" t="s">
        <v>8</v>
      </c>
      <c r="AA690" s="350" t="s">
        <v>30</v>
      </c>
      <c r="AB690" s="351" t="s">
        <v>505</v>
      </c>
      <c r="AC690" s="357">
        <v>200</v>
      </c>
      <c r="AD690" s="353">
        <f t="shared" si="216"/>
        <v>30036.500000000007</v>
      </c>
      <c r="AE690" s="353">
        <f t="shared" si="216"/>
        <v>30036.500000000007</v>
      </c>
      <c r="AF690" s="468">
        <f t="shared" si="216"/>
        <v>30036.6</v>
      </c>
      <c r="AG690" s="478">
        <f t="shared" si="197"/>
        <v>1.0000033292827057</v>
      </c>
    </row>
    <row r="691" spans="24:33" s="3" customFormat="1" ht="31.5" x14ac:dyDescent="0.25">
      <c r="X691" s="347" t="s">
        <v>52</v>
      </c>
      <c r="Y691" s="348" t="s">
        <v>440</v>
      </c>
      <c r="Z691" s="349" t="s">
        <v>8</v>
      </c>
      <c r="AA691" s="350" t="s">
        <v>30</v>
      </c>
      <c r="AB691" s="351" t="s">
        <v>505</v>
      </c>
      <c r="AC691" s="357">
        <v>240</v>
      </c>
      <c r="AD691" s="353">
        <f>29950+3327.8+4504.9+500.5-824.7-7422</f>
        <v>30036.500000000007</v>
      </c>
      <c r="AE691" s="353">
        <f>29950+3327.8+4504.9+500.5-824.7-7422</f>
        <v>30036.500000000007</v>
      </c>
      <c r="AF691" s="468">
        <v>30036.6</v>
      </c>
      <c r="AG691" s="478">
        <f t="shared" si="197"/>
        <v>1.0000033292827057</v>
      </c>
    </row>
    <row r="692" spans="24:33" s="3" customFormat="1" ht="47.25" x14ac:dyDescent="0.25">
      <c r="X692" s="365" t="s">
        <v>549</v>
      </c>
      <c r="Y692" s="348" t="s">
        <v>440</v>
      </c>
      <c r="Z692" s="349" t="s">
        <v>8</v>
      </c>
      <c r="AA692" s="350" t="s">
        <v>30</v>
      </c>
      <c r="AB692" s="355" t="s">
        <v>506</v>
      </c>
      <c r="AC692" s="345"/>
      <c r="AD692" s="353">
        <f t="shared" ref="AD692:AF693" si="217">AD693</f>
        <v>18220</v>
      </c>
      <c r="AE692" s="353">
        <f t="shared" si="217"/>
        <v>18220</v>
      </c>
      <c r="AF692" s="468">
        <f>AF693</f>
        <v>17588.8</v>
      </c>
      <c r="AG692" s="478">
        <f t="shared" ref="AG692:AG753" si="218">AF692/AE692</f>
        <v>0.9653567508232711</v>
      </c>
    </row>
    <row r="693" spans="24:33" s="3" customFormat="1" x14ac:dyDescent="0.25">
      <c r="X693" s="347" t="s">
        <v>121</v>
      </c>
      <c r="Y693" s="348" t="s">
        <v>440</v>
      </c>
      <c r="Z693" s="349" t="s">
        <v>8</v>
      </c>
      <c r="AA693" s="350" t="s">
        <v>30</v>
      </c>
      <c r="AB693" s="355" t="s">
        <v>506</v>
      </c>
      <c r="AC693" s="380">
        <v>200</v>
      </c>
      <c r="AD693" s="353">
        <f t="shared" si="217"/>
        <v>18220</v>
      </c>
      <c r="AE693" s="353">
        <f t="shared" si="217"/>
        <v>18220</v>
      </c>
      <c r="AF693" s="468">
        <f t="shared" si="217"/>
        <v>17588.8</v>
      </c>
      <c r="AG693" s="478">
        <f t="shared" si="218"/>
        <v>0.9653567508232711</v>
      </c>
    </row>
    <row r="694" spans="24:33" s="3" customFormat="1" ht="31.5" x14ac:dyDescent="0.25">
      <c r="X694" s="347" t="s">
        <v>52</v>
      </c>
      <c r="Y694" s="348" t="s">
        <v>440</v>
      </c>
      <c r="Z694" s="349" t="s">
        <v>8</v>
      </c>
      <c r="AA694" s="350" t="s">
        <v>30</v>
      </c>
      <c r="AB694" s="355" t="s">
        <v>506</v>
      </c>
      <c r="AC694" s="380">
        <v>240</v>
      </c>
      <c r="AD694" s="353">
        <f>16427+3655+416+93-146-1793-399-33</f>
        <v>18220</v>
      </c>
      <c r="AE694" s="353">
        <f>16427+3655+416+93-146-1793-399-33</f>
        <v>18220</v>
      </c>
      <c r="AF694" s="468">
        <v>17588.8</v>
      </c>
      <c r="AG694" s="478">
        <f t="shared" si="218"/>
        <v>0.9653567508232711</v>
      </c>
    </row>
    <row r="695" spans="24:33" s="3" customFormat="1" ht="47.25" x14ac:dyDescent="0.25">
      <c r="X695" s="356" t="s">
        <v>321</v>
      </c>
      <c r="Y695" s="348" t="s">
        <v>440</v>
      </c>
      <c r="Z695" s="349" t="s">
        <v>8</v>
      </c>
      <c r="AA695" s="350" t="s">
        <v>30</v>
      </c>
      <c r="AB695" s="355" t="s">
        <v>507</v>
      </c>
      <c r="AC695" s="352"/>
      <c r="AD695" s="353">
        <f>AD696+AD704</f>
        <v>14735.5</v>
      </c>
      <c r="AE695" s="353">
        <f>AE696+AE704</f>
        <v>14735.5</v>
      </c>
      <c r="AF695" s="468">
        <f>AF696+AF704</f>
        <v>9721.4</v>
      </c>
      <c r="AG695" s="478">
        <f t="shared" si="218"/>
        <v>0.65972651080723421</v>
      </c>
    </row>
    <row r="696" spans="24:33" s="3" customFormat="1" ht="47.25" x14ac:dyDescent="0.25">
      <c r="X696" s="356" t="s">
        <v>465</v>
      </c>
      <c r="Y696" s="348" t="s">
        <v>440</v>
      </c>
      <c r="Z696" s="349" t="s">
        <v>8</v>
      </c>
      <c r="AA696" s="350" t="s">
        <v>30</v>
      </c>
      <c r="AB696" s="355" t="s">
        <v>508</v>
      </c>
      <c r="AC696" s="352"/>
      <c r="AD696" s="353">
        <f t="shared" ref="AD696:AF697" si="219">AD697</f>
        <v>11823.5</v>
      </c>
      <c r="AE696" s="353">
        <f t="shared" si="219"/>
        <v>11823.5</v>
      </c>
      <c r="AF696" s="468">
        <f t="shared" si="219"/>
        <v>7151</v>
      </c>
      <c r="AG696" s="478">
        <f t="shared" si="218"/>
        <v>0.60481244978221338</v>
      </c>
    </row>
    <row r="697" spans="24:33" s="3" customFormat="1" ht="31.5" x14ac:dyDescent="0.25">
      <c r="X697" s="347" t="s">
        <v>61</v>
      </c>
      <c r="Y697" s="348" t="s">
        <v>440</v>
      </c>
      <c r="Z697" s="349" t="s">
        <v>8</v>
      </c>
      <c r="AA697" s="350" t="s">
        <v>30</v>
      </c>
      <c r="AB697" s="355" t="s">
        <v>508</v>
      </c>
      <c r="AC697" s="352">
        <v>600</v>
      </c>
      <c r="AD697" s="353">
        <f t="shared" si="219"/>
        <v>11823.5</v>
      </c>
      <c r="AE697" s="353">
        <f t="shared" si="219"/>
        <v>11823.5</v>
      </c>
      <c r="AF697" s="468">
        <f t="shared" si="219"/>
        <v>7151</v>
      </c>
      <c r="AG697" s="478">
        <f t="shared" si="218"/>
        <v>0.60481244978221338</v>
      </c>
    </row>
    <row r="698" spans="24:33" s="3" customFormat="1" x14ac:dyDescent="0.25">
      <c r="X698" s="347" t="s">
        <v>62</v>
      </c>
      <c r="Y698" s="348" t="s">
        <v>440</v>
      </c>
      <c r="Z698" s="349" t="s">
        <v>8</v>
      </c>
      <c r="AA698" s="350" t="s">
        <v>30</v>
      </c>
      <c r="AB698" s="355" t="s">
        <v>508</v>
      </c>
      <c r="AC698" s="352">
        <v>610</v>
      </c>
      <c r="AD698" s="353">
        <f>2823.5+9000</f>
        <v>11823.5</v>
      </c>
      <c r="AE698" s="353">
        <f>2823.5+9000</f>
        <v>11823.5</v>
      </c>
      <c r="AF698" s="468">
        <v>7151</v>
      </c>
      <c r="AG698" s="478">
        <f t="shared" si="218"/>
        <v>0.60481244978221338</v>
      </c>
    </row>
    <row r="699" spans="24:33" s="3" customFormat="1" hidden="1" x14ac:dyDescent="0.25">
      <c r="X699" s="366" t="s">
        <v>344</v>
      </c>
      <c r="Y699" s="348" t="s">
        <v>440</v>
      </c>
      <c r="Z699" s="349" t="s">
        <v>8</v>
      </c>
      <c r="AA699" s="350" t="s">
        <v>30</v>
      </c>
      <c r="AB699" s="351" t="s">
        <v>138</v>
      </c>
      <c r="AC699" s="372"/>
      <c r="AD699" s="353">
        <f t="shared" ref="AD699:AF702" si="220">AD700</f>
        <v>0</v>
      </c>
      <c r="AE699" s="353">
        <f t="shared" si="220"/>
        <v>0</v>
      </c>
      <c r="AF699" s="468">
        <f t="shared" si="220"/>
        <v>0</v>
      </c>
      <c r="AG699" s="478" t="e">
        <f t="shared" si="218"/>
        <v>#DIV/0!</v>
      </c>
    </row>
    <row r="700" spans="24:33" s="3" customFormat="1" hidden="1" x14ac:dyDescent="0.25">
      <c r="X700" s="423" t="s">
        <v>453</v>
      </c>
      <c r="Y700" s="348" t="s">
        <v>440</v>
      </c>
      <c r="Z700" s="349" t="s">
        <v>8</v>
      </c>
      <c r="AA700" s="350" t="s">
        <v>30</v>
      </c>
      <c r="AB700" s="377" t="s">
        <v>454</v>
      </c>
      <c r="AC700" s="372"/>
      <c r="AD700" s="353">
        <f t="shared" si="220"/>
        <v>0</v>
      </c>
      <c r="AE700" s="353">
        <f t="shared" si="220"/>
        <v>0</v>
      </c>
      <c r="AF700" s="468">
        <f t="shared" si="220"/>
        <v>0</v>
      </c>
      <c r="AG700" s="478" t="e">
        <f t="shared" si="218"/>
        <v>#DIV/0!</v>
      </c>
    </row>
    <row r="701" spans="24:33" s="3" customFormat="1" ht="126" hidden="1" x14ac:dyDescent="0.25">
      <c r="X701" s="347" t="s">
        <v>458</v>
      </c>
      <c r="Y701" s="348" t="s">
        <v>440</v>
      </c>
      <c r="Z701" s="349" t="s">
        <v>8</v>
      </c>
      <c r="AA701" s="350" t="s">
        <v>30</v>
      </c>
      <c r="AB701" s="377" t="s">
        <v>459</v>
      </c>
      <c r="AC701" s="372"/>
      <c r="AD701" s="353">
        <f t="shared" si="220"/>
        <v>0</v>
      </c>
      <c r="AE701" s="353">
        <f t="shared" si="220"/>
        <v>0</v>
      </c>
      <c r="AF701" s="468">
        <f t="shared" si="220"/>
        <v>0</v>
      </c>
      <c r="AG701" s="478" t="e">
        <f t="shared" si="218"/>
        <v>#DIV/0!</v>
      </c>
    </row>
    <row r="702" spans="24:33" s="3" customFormat="1" hidden="1" x14ac:dyDescent="0.25">
      <c r="X702" s="347" t="s">
        <v>42</v>
      </c>
      <c r="Y702" s="348" t="s">
        <v>440</v>
      </c>
      <c r="Z702" s="349" t="s">
        <v>8</v>
      </c>
      <c r="AA702" s="350" t="s">
        <v>30</v>
      </c>
      <c r="AB702" s="377" t="s">
        <v>459</v>
      </c>
      <c r="AC702" s="372" t="s">
        <v>363</v>
      </c>
      <c r="AD702" s="353">
        <f t="shared" si="220"/>
        <v>0</v>
      </c>
      <c r="AE702" s="353">
        <f t="shared" si="220"/>
        <v>0</v>
      </c>
      <c r="AF702" s="468">
        <f t="shared" si="220"/>
        <v>0</v>
      </c>
      <c r="AG702" s="478" t="e">
        <f t="shared" si="218"/>
        <v>#DIV/0!</v>
      </c>
    </row>
    <row r="703" spans="24:33" s="3" customFormat="1" hidden="1" x14ac:dyDescent="0.25">
      <c r="X703" s="347" t="s">
        <v>58</v>
      </c>
      <c r="Y703" s="348" t="s">
        <v>440</v>
      </c>
      <c r="Z703" s="349" t="s">
        <v>8</v>
      </c>
      <c r="AA703" s="350" t="s">
        <v>30</v>
      </c>
      <c r="AB703" s="377" t="s">
        <v>459</v>
      </c>
      <c r="AC703" s="372" t="s">
        <v>455</v>
      </c>
      <c r="AD703" s="353">
        <f>3586-3586</f>
        <v>0</v>
      </c>
      <c r="AE703" s="353">
        <f>3586-3586</f>
        <v>0</v>
      </c>
      <c r="AF703" s="468">
        <v>0</v>
      </c>
      <c r="AG703" s="478" t="e">
        <f t="shared" si="218"/>
        <v>#DIV/0!</v>
      </c>
    </row>
    <row r="704" spans="24:33" s="3" customFormat="1" ht="65.45" customHeight="1" x14ac:dyDescent="0.25">
      <c r="X704" s="347" t="s">
        <v>688</v>
      </c>
      <c r="Y704" s="348" t="s">
        <v>440</v>
      </c>
      <c r="Z704" s="349" t="s">
        <v>8</v>
      </c>
      <c r="AA704" s="350" t="s">
        <v>30</v>
      </c>
      <c r="AB704" s="355" t="s">
        <v>685</v>
      </c>
      <c r="AC704" s="372"/>
      <c r="AD704" s="353">
        <f t="shared" ref="AD704:AF705" si="221">AD705</f>
        <v>2912</v>
      </c>
      <c r="AE704" s="353">
        <f t="shared" si="221"/>
        <v>2912</v>
      </c>
      <c r="AF704" s="468">
        <f t="shared" si="221"/>
        <v>2570.4</v>
      </c>
      <c r="AG704" s="478">
        <f t="shared" si="218"/>
        <v>0.88269230769230778</v>
      </c>
    </row>
    <row r="705" spans="24:33" s="3" customFormat="1" ht="31.5" x14ac:dyDescent="0.25">
      <c r="X705" s="347" t="s">
        <v>61</v>
      </c>
      <c r="Y705" s="348" t="s">
        <v>440</v>
      </c>
      <c r="Z705" s="349" t="s">
        <v>8</v>
      </c>
      <c r="AA705" s="350" t="s">
        <v>30</v>
      </c>
      <c r="AB705" s="355" t="s">
        <v>685</v>
      </c>
      <c r="AC705" s="352">
        <v>600</v>
      </c>
      <c r="AD705" s="353">
        <f t="shared" si="221"/>
        <v>2912</v>
      </c>
      <c r="AE705" s="353">
        <f t="shared" si="221"/>
        <v>2912</v>
      </c>
      <c r="AF705" s="468">
        <f t="shared" si="221"/>
        <v>2570.4</v>
      </c>
      <c r="AG705" s="478">
        <f t="shared" si="218"/>
        <v>0.88269230769230778</v>
      </c>
    </row>
    <row r="706" spans="24:33" s="3" customFormat="1" x14ac:dyDescent="0.25">
      <c r="X706" s="347" t="s">
        <v>62</v>
      </c>
      <c r="Y706" s="348" t="s">
        <v>440</v>
      </c>
      <c r="Z706" s="349" t="s">
        <v>8</v>
      </c>
      <c r="AA706" s="350" t="s">
        <v>30</v>
      </c>
      <c r="AB706" s="355" t="s">
        <v>685</v>
      </c>
      <c r="AC706" s="352">
        <v>610</v>
      </c>
      <c r="AD706" s="353">
        <f>2880+295-263</f>
        <v>2912</v>
      </c>
      <c r="AE706" s="353">
        <f>2880+295-263</f>
        <v>2912</v>
      </c>
      <c r="AF706" s="468">
        <v>2570.4</v>
      </c>
      <c r="AG706" s="478">
        <f t="shared" si="218"/>
        <v>0.88269230769230778</v>
      </c>
    </row>
    <row r="707" spans="24:33" s="3" customFormat="1" x14ac:dyDescent="0.25">
      <c r="X707" s="347" t="s">
        <v>697</v>
      </c>
      <c r="Y707" s="348" t="s">
        <v>440</v>
      </c>
      <c r="Z707" s="349" t="s">
        <v>8</v>
      </c>
      <c r="AA707" s="350" t="s">
        <v>30</v>
      </c>
      <c r="AB707" s="355" t="s">
        <v>698</v>
      </c>
      <c r="AC707" s="352"/>
      <c r="AD707" s="353">
        <f t="shared" ref="AD707:AE709" si="222">AD708</f>
        <v>6443.5</v>
      </c>
      <c r="AE707" s="353">
        <f t="shared" si="222"/>
        <v>6443.5</v>
      </c>
      <c r="AF707" s="468">
        <f t="shared" ref="AF707:AF709" si="223">AF708</f>
        <v>6380.6</v>
      </c>
      <c r="AG707" s="478">
        <f t="shared" si="218"/>
        <v>0.99023822456739352</v>
      </c>
    </row>
    <row r="708" spans="24:33" s="3" customFormat="1" ht="94.5" x14ac:dyDescent="0.25">
      <c r="X708" s="347" t="s">
        <v>700</v>
      </c>
      <c r="Y708" s="348" t="s">
        <v>440</v>
      </c>
      <c r="Z708" s="349" t="s">
        <v>8</v>
      </c>
      <c r="AA708" s="350" t="s">
        <v>30</v>
      </c>
      <c r="AB708" s="355" t="s">
        <v>699</v>
      </c>
      <c r="AC708" s="352"/>
      <c r="AD708" s="353">
        <f t="shared" si="222"/>
        <v>6443.5</v>
      </c>
      <c r="AE708" s="353">
        <f t="shared" si="222"/>
        <v>6443.5</v>
      </c>
      <c r="AF708" s="468">
        <f t="shared" si="223"/>
        <v>6380.6</v>
      </c>
      <c r="AG708" s="478">
        <f t="shared" si="218"/>
        <v>0.99023822456739352</v>
      </c>
    </row>
    <row r="709" spans="24:33" s="3" customFormat="1" x14ac:dyDescent="0.25">
      <c r="X709" s="347" t="s">
        <v>121</v>
      </c>
      <c r="Y709" s="348" t="s">
        <v>440</v>
      </c>
      <c r="Z709" s="349" t="s">
        <v>8</v>
      </c>
      <c r="AA709" s="350" t="s">
        <v>30</v>
      </c>
      <c r="AB709" s="355" t="s">
        <v>699</v>
      </c>
      <c r="AC709" s="352">
        <v>200</v>
      </c>
      <c r="AD709" s="353">
        <f t="shared" si="222"/>
        <v>6443.5</v>
      </c>
      <c r="AE709" s="353">
        <f t="shared" si="222"/>
        <v>6443.5</v>
      </c>
      <c r="AF709" s="468">
        <f t="shared" si="223"/>
        <v>6380.6</v>
      </c>
      <c r="AG709" s="478">
        <f t="shared" si="218"/>
        <v>0.99023822456739352</v>
      </c>
    </row>
    <row r="710" spans="24:33" s="3" customFormat="1" ht="26.45" customHeight="1" x14ac:dyDescent="0.25">
      <c r="X710" s="347" t="s">
        <v>52</v>
      </c>
      <c r="Y710" s="348" t="s">
        <v>440</v>
      </c>
      <c r="Z710" s="349" t="s">
        <v>8</v>
      </c>
      <c r="AA710" s="350" t="s">
        <v>30</v>
      </c>
      <c r="AB710" s="355" t="s">
        <v>699</v>
      </c>
      <c r="AC710" s="352">
        <v>240</v>
      </c>
      <c r="AD710" s="353">
        <f>7508.4+187.7-1252.6</f>
        <v>6443.5</v>
      </c>
      <c r="AE710" s="353">
        <f>7508.4+187.7-1252.6</f>
        <v>6443.5</v>
      </c>
      <c r="AF710" s="468">
        <v>6380.6</v>
      </c>
      <c r="AG710" s="478">
        <f t="shared" si="218"/>
        <v>0.99023822456739352</v>
      </c>
    </row>
    <row r="711" spans="24:33" s="3" customFormat="1" x14ac:dyDescent="0.25">
      <c r="X711" s="356" t="s">
        <v>490</v>
      </c>
      <c r="Y711" s="348" t="s">
        <v>440</v>
      </c>
      <c r="Z711" s="349" t="s">
        <v>8</v>
      </c>
      <c r="AA711" s="350" t="s">
        <v>30</v>
      </c>
      <c r="AB711" s="424" t="s">
        <v>664</v>
      </c>
      <c r="AC711" s="372"/>
      <c r="AD711" s="353">
        <f t="shared" ref="AD711:AF713" si="224">AD712</f>
        <v>1675.2</v>
      </c>
      <c r="AE711" s="353">
        <f t="shared" si="224"/>
        <v>1675.2</v>
      </c>
      <c r="AF711" s="468">
        <f t="shared" si="224"/>
        <v>1675.2</v>
      </c>
      <c r="AG711" s="478">
        <f t="shared" si="218"/>
        <v>1</v>
      </c>
    </row>
    <row r="712" spans="24:33" s="3" customFormat="1" ht="157.5" x14ac:dyDescent="0.25">
      <c r="X712" s="347" t="s">
        <v>660</v>
      </c>
      <c r="Y712" s="348" t="s">
        <v>440</v>
      </c>
      <c r="Z712" s="349" t="s">
        <v>8</v>
      </c>
      <c r="AA712" s="350" t="s">
        <v>30</v>
      </c>
      <c r="AB712" s="377" t="s">
        <v>661</v>
      </c>
      <c r="AC712" s="372"/>
      <c r="AD712" s="353">
        <f t="shared" si="224"/>
        <v>1675.2</v>
      </c>
      <c r="AE712" s="353">
        <f t="shared" si="224"/>
        <v>1675.2</v>
      </c>
      <c r="AF712" s="468">
        <f t="shared" si="224"/>
        <v>1675.2</v>
      </c>
      <c r="AG712" s="478">
        <f t="shared" si="218"/>
        <v>1</v>
      </c>
    </row>
    <row r="713" spans="24:33" s="3" customFormat="1" ht="31.5" x14ac:dyDescent="0.25">
      <c r="X713" s="347" t="s">
        <v>61</v>
      </c>
      <c r="Y713" s="348" t="s">
        <v>440</v>
      </c>
      <c r="Z713" s="349" t="s">
        <v>8</v>
      </c>
      <c r="AA713" s="350" t="s">
        <v>30</v>
      </c>
      <c r="AB713" s="377" t="s">
        <v>661</v>
      </c>
      <c r="AC713" s="352">
        <v>600</v>
      </c>
      <c r="AD713" s="353">
        <f t="shared" si="224"/>
        <v>1675.2</v>
      </c>
      <c r="AE713" s="353">
        <f t="shared" si="224"/>
        <v>1675.2</v>
      </c>
      <c r="AF713" s="468">
        <f t="shared" si="224"/>
        <v>1675.2</v>
      </c>
      <c r="AG713" s="478">
        <f t="shared" si="218"/>
        <v>1</v>
      </c>
    </row>
    <row r="714" spans="24:33" s="3" customFormat="1" x14ac:dyDescent="0.25">
      <c r="X714" s="347" t="s">
        <v>62</v>
      </c>
      <c r="Y714" s="348" t="s">
        <v>440</v>
      </c>
      <c r="Z714" s="349" t="s">
        <v>8</v>
      </c>
      <c r="AA714" s="350" t="s">
        <v>30</v>
      </c>
      <c r="AB714" s="377" t="s">
        <v>661</v>
      </c>
      <c r="AC714" s="352">
        <v>610</v>
      </c>
      <c r="AD714" s="353">
        <v>1675.2</v>
      </c>
      <c r="AE714" s="353">
        <v>1675.2</v>
      </c>
      <c r="AF714" s="468">
        <v>1675.2</v>
      </c>
      <c r="AG714" s="478">
        <f t="shared" si="218"/>
        <v>1</v>
      </c>
    </row>
    <row r="715" spans="24:33" s="3" customFormat="1" ht="31.5" x14ac:dyDescent="0.25">
      <c r="X715" s="354" t="s">
        <v>163</v>
      </c>
      <c r="Y715" s="348" t="s">
        <v>440</v>
      </c>
      <c r="Z715" s="349" t="s">
        <v>8</v>
      </c>
      <c r="AA715" s="350" t="s">
        <v>30</v>
      </c>
      <c r="AB715" s="351" t="s">
        <v>103</v>
      </c>
      <c r="AC715" s="352"/>
      <c r="AD715" s="353">
        <f>AD716</f>
        <v>10414</v>
      </c>
      <c r="AE715" s="353">
        <f>AE716</f>
        <v>10414</v>
      </c>
      <c r="AF715" s="468">
        <f>AF716</f>
        <v>10413.5</v>
      </c>
      <c r="AG715" s="478">
        <f t="shared" si="218"/>
        <v>0.99995198770885352</v>
      </c>
    </row>
    <row r="716" spans="24:33" s="3" customFormat="1" ht="31.5" x14ac:dyDescent="0.25">
      <c r="X716" s="354" t="s">
        <v>375</v>
      </c>
      <c r="Y716" s="348" t="s">
        <v>440</v>
      </c>
      <c r="Z716" s="349" t="s">
        <v>8</v>
      </c>
      <c r="AA716" s="350" t="s">
        <v>30</v>
      </c>
      <c r="AB716" s="355" t="s">
        <v>105</v>
      </c>
      <c r="AC716" s="357"/>
      <c r="AD716" s="353">
        <f t="shared" ref="AD716:AE719" si="225">AD717</f>
        <v>10414</v>
      </c>
      <c r="AE716" s="353">
        <f t="shared" si="225"/>
        <v>10414</v>
      </c>
      <c r="AF716" s="468">
        <f t="shared" ref="AF716:AF719" si="226">AF717</f>
        <v>10413.5</v>
      </c>
      <c r="AG716" s="478">
        <f t="shared" si="218"/>
        <v>0.99995198770885352</v>
      </c>
    </row>
    <row r="717" spans="24:33" s="3" customFormat="1" ht="31.5" x14ac:dyDescent="0.25">
      <c r="X717" s="368" t="s">
        <v>607</v>
      </c>
      <c r="Y717" s="348" t="s">
        <v>440</v>
      </c>
      <c r="Z717" s="349" t="s">
        <v>8</v>
      </c>
      <c r="AA717" s="350" t="s">
        <v>30</v>
      </c>
      <c r="AB717" s="355" t="s">
        <v>125</v>
      </c>
      <c r="AC717" s="372"/>
      <c r="AD717" s="353">
        <f t="shared" si="225"/>
        <v>10414</v>
      </c>
      <c r="AE717" s="353">
        <f t="shared" si="225"/>
        <v>10414</v>
      </c>
      <c r="AF717" s="468">
        <f t="shared" si="226"/>
        <v>10413.5</v>
      </c>
      <c r="AG717" s="478">
        <f t="shared" si="218"/>
        <v>0.99995198770885352</v>
      </c>
    </row>
    <row r="718" spans="24:33" s="3" customFormat="1" x14ac:dyDescent="0.25">
      <c r="X718" s="347" t="s">
        <v>173</v>
      </c>
      <c r="Y718" s="348" t="s">
        <v>440</v>
      </c>
      <c r="Z718" s="349" t="s">
        <v>8</v>
      </c>
      <c r="AA718" s="350" t="s">
        <v>30</v>
      </c>
      <c r="AB718" s="355" t="s">
        <v>174</v>
      </c>
      <c r="AC718" s="357"/>
      <c r="AD718" s="353">
        <f t="shared" si="225"/>
        <v>10414</v>
      </c>
      <c r="AE718" s="353">
        <f t="shared" si="225"/>
        <v>10414</v>
      </c>
      <c r="AF718" s="468">
        <f t="shared" si="226"/>
        <v>10413.5</v>
      </c>
      <c r="AG718" s="478">
        <f t="shared" si="218"/>
        <v>0.99995198770885352</v>
      </c>
    </row>
    <row r="719" spans="24:33" s="3" customFormat="1" ht="31.5" x14ac:dyDescent="0.25">
      <c r="X719" s="347" t="s">
        <v>61</v>
      </c>
      <c r="Y719" s="348" t="s">
        <v>440</v>
      </c>
      <c r="Z719" s="349" t="s">
        <v>8</v>
      </c>
      <c r="AA719" s="350" t="s">
        <v>30</v>
      </c>
      <c r="AB719" s="355" t="s">
        <v>174</v>
      </c>
      <c r="AC719" s="352">
        <v>600</v>
      </c>
      <c r="AD719" s="353">
        <f t="shared" si="225"/>
        <v>10414</v>
      </c>
      <c r="AE719" s="353">
        <f t="shared" si="225"/>
        <v>10414</v>
      </c>
      <c r="AF719" s="468">
        <f t="shared" si="226"/>
        <v>10413.5</v>
      </c>
      <c r="AG719" s="478">
        <f t="shared" si="218"/>
        <v>0.99995198770885352</v>
      </c>
    </row>
    <row r="720" spans="24:33" s="3" customFormat="1" x14ac:dyDescent="0.25">
      <c r="X720" s="347" t="s">
        <v>62</v>
      </c>
      <c r="Y720" s="348" t="s">
        <v>440</v>
      </c>
      <c r="Z720" s="349" t="s">
        <v>8</v>
      </c>
      <c r="AA720" s="350" t="s">
        <v>30</v>
      </c>
      <c r="AB720" s="355" t="s">
        <v>174</v>
      </c>
      <c r="AC720" s="352">
        <v>610</v>
      </c>
      <c r="AD720" s="353">
        <v>10414</v>
      </c>
      <c r="AE720" s="353">
        <v>10414</v>
      </c>
      <c r="AF720" s="468">
        <v>10413.5</v>
      </c>
      <c r="AG720" s="478">
        <f t="shared" si="218"/>
        <v>0.99995198770885352</v>
      </c>
    </row>
    <row r="721" spans="1:36" ht="31.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X721" s="292" t="s">
        <v>306</v>
      </c>
      <c r="Y721" s="348" t="s">
        <v>440</v>
      </c>
      <c r="Z721" s="349" t="s">
        <v>8</v>
      </c>
      <c r="AA721" s="350" t="s">
        <v>30</v>
      </c>
      <c r="AB721" s="226" t="s">
        <v>132</v>
      </c>
      <c r="AC721" s="352"/>
      <c r="AD721" s="353">
        <f t="shared" ref="AD721:AE726" si="227">AD722</f>
        <v>3500</v>
      </c>
      <c r="AE721" s="353">
        <f t="shared" si="227"/>
        <v>3500</v>
      </c>
      <c r="AF721" s="468">
        <f t="shared" ref="AF721:AF725" si="228">AF722</f>
        <v>3496</v>
      </c>
      <c r="AG721" s="478">
        <f t="shared" si="218"/>
        <v>0.99885714285714289</v>
      </c>
      <c r="AH721" s="3"/>
      <c r="AI721" s="3"/>
    </row>
    <row r="722" spans="1:3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X722" s="347" t="s">
        <v>771</v>
      </c>
      <c r="Y722" s="348" t="s">
        <v>440</v>
      </c>
      <c r="Z722" s="349" t="s">
        <v>8</v>
      </c>
      <c r="AA722" s="350" t="s">
        <v>30</v>
      </c>
      <c r="AB722" s="226" t="s">
        <v>772</v>
      </c>
      <c r="AC722" s="352"/>
      <c r="AD722" s="353">
        <f t="shared" si="227"/>
        <v>3500</v>
      </c>
      <c r="AE722" s="353">
        <f t="shared" si="227"/>
        <v>3500</v>
      </c>
      <c r="AF722" s="468">
        <f t="shared" si="228"/>
        <v>3496</v>
      </c>
      <c r="AG722" s="478">
        <f t="shared" si="218"/>
        <v>0.99885714285714289</v>
      </c>
      <c r="AH722" s="3"/>
      <c r="AI722" s="3"/>
    </row>
    <row r="723" spans="1:36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X723" s="347" t="s">
        <v>773</v>
      </c>
      <c r="Y723" s="348" t="s">
        <v>440</v>
      </c>
      <c r="Z723" s="349" t="s">
        <v>8</v>
      </c>
      <c r="AA723" s="350" t="s">
        <v>30</v>
      </c>
      <c r="AB723" s="226" t="s">
        <v>774</v>
      </c>
      <c r="AC723" s="352"/>
      <c r="AD723" s="353">
        <f t="shared" si="227"/>
        <v>3500</v>
      </c>
      <c r="AE723" s="353">
        <f t="shared" si="227"/>
        <v>3500</v>
      </c>
      <c r="AF723" s="468">
        <f t="shared" si="228"/>
        <v>3496</v>
      </c>
      <c r="AG723" s="478">
        <f t="shared" si="218"/>
        <v>0.99885714285714289</v>
      </c>
      <c r="AH723" s="3"/>
      <c r="AI723" s="3"/>
    </row>
    <row r="724" spans="1:36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X724" s="347" t="s">
        <v>775</v>
      </c>
      <c r="Y724" s="348" t="s">
        <v>440</v>
      </c>
      <c r="Z724" s="349" t="s">
        <v>8</v>
      </c>
      <c r="AA724" s="350" t="s">
        <v>30</v>
      </c>
      <c r="AB724" s="355" t="s">
        <v>776</v>
      </c>
      <c r="AC724" s="352"/>
      <c r="AD724" s="353">
        <f t="shared" si="227"/>
        <v>3500</v>
      </c>
      <c r="AE724" s="353">
        <f t="shared" si="227"/>
        <v>3500</v>
      </c>
      <c r="AF724" s="468">
        <f t="shared" si="228"/>
        <v>3496</v>
      </c>
      <c r="AG724" s="478">
        <f t="shared" si="218"/>
        <v>0.99885714285714289</v>
      </c>
      <c r="AH724" s="3"/>
      <c r="AI724" s="3"/>
    </row>
    <row r="725" spans="1:36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X725" s="347" t="s">
        <v>778</v>
      </c>
      <c r="Y725" s="348" t="s">
        <v>440</v>
      </c>
      <c r="Z725" s="349" t="s">
        <v>8</v>
      </c>
      <c r="AA725" s="350" t="s">
        <v>30</v>
      </c>
      <c r="AB725" s="355" t="s">
        <v>777</v>
      </c>
      <c r="AC725" s="352"/>
      <c r="AD725" s="353">
        <f t="shared" si="227"/>
        <v>3500</v>
      </c>
      <c r="AE725" s="353">
        <f t="shared" si="227"/>
        <v>3500</v>
      </c>
      <c r="AF725" s="468">
        <f t="shared" si="228"/>
        <v>3496</v>
      </c>
      <c r="AG725" s="478">
        <f t="shared" si="218"/>
        <v>0.99885714285714289</v>
      </c>
      <c r="AH725" s="3"/>
      <c r="AI725" s="3"/>
    </row>
    <row r="726" spans="1:36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X726" s="347" t="s">
        <v>61</v>
      </c>
      <c r="Y726" s="348" t="s">
        <v>440</v>
      </c>
      <c r="Z726" s="349" t="s">
        <v>8</v>
      </c>
      <c r="AA726" s="350" t="s">
        <v>30</v>
      </c>
      <c r="AB726" s="355" t="s">
        <v>777</v>
      </c>
      <c r="AC726" s="352">
        <v>600</v>
      </c>
      <c r="AD726" s="353">
        <f t="shared" si="227"/>
        <v>3500</v>
      </c>
      <c r="AE726" s="353">
        <f t="shared" si="227"/>
        <v>3500</v>
      </c>
      <c r="AF726" s="468">
        <f t="shared" ref="AF726" si="229">AF727</f>
        <v>3496</v>
      </c>
      <c r="AG726" s="478">
        <f t="shared" si="218"/>
        <v>0.99885714285714289</v>
      </c>
      <c r="AH726" s="3"/>
      <c r="AI726" s="3"/>
    </row>
    <row r="727" spans="1:36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X727" s="347" t="s">
        <v>62</v>
      </c>
      <c r="Y727" s="348" t="s">
        <v>440</v>
      </c>
      <c r="Z727" s="349" t="s">
        <v>8</v>
      </c>
      <c r="AA727" s="350" t="s">
        <v>30</v>
      </c>
      <c r="AB727" s="355" t="s">
        <v>777</v>
      </c>
      <c r="AC727" s="352">
        <v>610</v>
      </c>
      <c r="AD727" s="353">
        <f>2000+1500</f>
        <v>3500</v>
      </c>
      <c r="AE727" s="353">
        <f>2000+1500</f>
        <v>3500</v>
      </c>
      <c r="AF727" s="468">
        <v>3496</v>
      </c>
      <c r="AG727" s="478">
        <f t="shared" si="218"/>
        <v>0.99885714285714289</v>
      </c>
      <c r="AH727" s="3"/>
      <c r="AI727" s="3"/>
    </row>
    <row r="728" spans="1:3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X728" s="347" t="s">
        <v>135</v>
      </c>
      <c r="Y728" s="348" t="s">
        <v>440</v>
      </c>
      <c r="Z728" s="401" t="s">
        <v>8</v>
      </c>
      <c r="AA728" s="350" t="s">
        <v>7</v>
      </c>
      <c r="AB728" s="351"/>
      <c r="AC728" s="357"/>
      <c r="AD728" s="353">
        <f>AD729+AD754</f>
        <v>85890.4</v>
      </c>
      <c r="AE728" s="353">
        <f>AE729+AE754</f>
        <v>85890.4</v>
      </c>
      <c r="AF728" s="353">
        <f>AF729+AF754</f>
        <v>85453.3</v>
      </c>
      <c r="AG728" s="478">
        <f t="shared" si="218"/>
        <v>0.99491095628847936</v>
      </c>
      <c r="AJ728" s="19"/>
    </row>
    <row r="729" spans="1:3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X729" s="356" t="s">
        <v>270</v>
      </c>
      <c r="Y729" s="348" t="s">
        <v>440</v>
      </c>
      <c r="Z729" s="401" t="s">
        <v>8</v>
      </c>
      <c r="AA729" s="350" t="s">
        <v>7</v>
      </c>
      <c r="AB729" s="351" t="s">
        <v>101</v>
      </c>
      <c r="AC729" s="357"/>
      <c r="AD729" s="353">
        <f>AD730+AD735</f>
        <v>81490.399999999994</v>
      </c>
      <c r="AE729" s="353">
        <f>AE730+AE735</f>
        <v>81490.399999999994</v>
      </c>
      <c r="AF729" s="468">
        <f>AF730+AF735</f>
        <v>81173.5</v>
      </c>
      <c r="AG729" s="478">
        <f t="shared" si="218"/>
        <v>0.99611119837428708</v>
      </c>
    </row>
    <row r="730" spans="1:36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X730" s="356" t="s">
        <v>273</v>
      </c>
      <c r="Y730" s="348" t="s">
        <v>440</v>
      </c>
      <c r="Z730" s="401" t="s">
        <v>8</v>
      </c>
      <c r="AA730" s="350" t="s">
        <v>7</v>
      </c>
      <c r="AB730" s="355" t="s">
        <v>118</v>
      </c>
      <c r="AC730" s="357"/>
      <c r="AD730" s="353">
        <f>AD731</f>
        <v>4942</v>
      </c>
      <c r="AE730" s="353">
        <f>AE731</f>
        <v>4942</v>
      </c>
      <c r="AF730" s="468">
        <f>AF731</f>
        <v>4760</v>
      </c>
      <c r="AG730" s="478">
        <f t="shared" si="218"/>
        <v>0.96317280453257792</v>
      </c>
    </row>
    <row r="731" spans="1:36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X731" s="356" t="s">
        <v>274</v>
      </c>
      <c r="Y731" s="348" t="s">
        <v>440</v>
      </c>
      <c r="Z731" s="349" t="s">
        <v>8</v>
      </c>
      <c r="AA731" s="350" t="s">
        <v>7</v>
      </c>
      <c r="AB731" s="355" t="s">
        <v>478</v>
      </c>
      <c r="AC731" s="357"/>
      <c r="AD731" s="353">
        <f t="shared" ref="AD731:AE733" si="230">AD732</f>
        <v>4942</v>
      </c>
      <c r="AE731" s="353">
        <f t="shared" si="230"/>
        <v>4942</v>
      </c>
      <c r="AF731" s="468">
        <f t="shared" ref="AF731:AF733" si="231">AF732</f>
        <v>4760</v>
      </c>
      <c r="AG731" s="478">
        <f t="shared" si="218"/>
        <v>0.96317280453257792</v>
      </c>
    </row>
    <row r="732" spans="1:36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X732" s="365" t="s">
        <v>546</v>
      </c>
      <c r="Y732" s="348" t="s">
        <v>440</v>
      </c>
      <c r="Z732" s="349" t="s">
        <v>8</v>
      </c>
      <c r="AA732" s="350" t="s">
        <v>7</v>
      </c>
      <c r="AB732" s="351" t="s">
        <v>503</v>
      </c>
      <c r="AC732" s="357"/>
      <c r="AD732" s="353">
        <f t="shared" si="230"/>
        <v>4942</v>
      </c>
      <c r="AE732" s="353">
        <f t="shared" si="230"/>
        <v>4942</v>
      </c>
      <c r="AF732" s="468">
        <f t="shared" si="231"/>
        <v>4760</v>
      </c>
      <c r="AG732" s="478">
        <f t="shared" si="218"/>
        <v>0.96317280453257792</v>
      </c>
    </row>
    <row r="733" spans="1:36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X733" s="347" t="s">
        <v>61</v>
      </c>
      <c r="Y733" s="371" t="s">
        <v>440</v>
      </c>
      <c r="Z733" s="349" t="s">
        <v>8</v>
      </c>
      <c r="AA733" s="350" t="s">
        <v>7</v>
      </c>
      <c r="AB733" s="351" t="s">
        <v>503</v>
      </c>
      <c r="AC733" s="357">
        <v>600</v>
      </c>
      <c r="AD733" s="353">
        <f t="shared" si="230"/>
        <v>4942</v>
      </c>
      <c r="AE733" s="353">
        <f t="shared" si="230"/>
        <v>4942</v>
      </c>
      <c r="AF733" s="468">
        <f t="shared" si="231"/>
        <v>4760</v>
      </c>
      <c r="AG733" s="478">
        <f t="shared" si="218"/>
        <v>0.96317280453257792</v>
      </c>
    </row>
    <row r="734" spans="1:36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X734" s="347" t="s">
        <v>62</v>
      </c>
      <c r="Y734" s="371" t="s">
        <v>440</v>
      </c>
      <c r="Z734" s="349" t="s">
        <v>8</v>
      </c>
      <c r="AA734" s="350" t="s">
        <v>7</v>
      </c>
      <c r="AB734" s="351" t="s">
        <v>503</v>
      </c>
      <c r="AC734" s="357">
        <v>610</v>
      </c>
      <c r="AD734" s="353">
        <f>3836+1002+182-78</f>
        <v>4942</v>
      </c>
      <c r="AE734" s="353">
        <f>3836+1002+182-78</f>
        <v>4942</v>
      </c>
      <c r="AF734" s="468">
        <v>4760</v>
      </c>
      <c r="AG734" s="478">
        <f t="shared" si="218"/>
        <v>0.96317280453257792</v>
      </c>
    </row>
    <row r="735" spans="1:36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X735" s="356" t="s">
        <v>509</v>
      </c>
      <c r="Y735" s="348">
        <v>901</v>
      </c>
      <c r="Z735" s="401" t="s">
        <v>8</v>
      </c>
      <c r="AA735" s="350" t="s">
        <v>7</v>
      </c>
      <c r="AB735" s="355" t="s">
        <v>102</v>
      </c>
      <c r="AC735" s="373"/>
      <c r="AD735" s="382">
        <f>AD736+AD750</f>
        <v>76548.399999999994</v>
      </c>
      <c r="AE735" s="382">
        <f>AE736+AE750</f>
        <v>76548.399999999994</v>
      </c>
      <c r="AF735" s="469">
        <f>AF736+AF750</f>
        <v>76413.5</v>
      </c>
      <c r="AG735" s="478">
        <f t="shared" si="218"/>
        <v>0.99823771626840019</v>
      </c>
    </row>
    <row r="736" spans="1:36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X736" s="356" t="s">
        <v>550</v>
      </c>
      <c r="Y736" s="348">
        <v>901</v>
      </c>
      <c r="Z736" s="401" t="s">
        <v>8</v>
      </c>
      <c r="AA736" s="350" t="s">
        <v>7</v>
      </c>
      <c r="AB736" s="355" t="s">
        <v>511</v>
      </c>
      <c r="AC736" s="373"/>
      <c r="AD736" s="382">
        <f>AD740+AD737+AD747</f>
        <v>48647.499999999993</v>
      </c>
      <c r="AE736" s="382">
        <f>AE740+AE737+AE747</f>
        <v>48647.499999999993</v>
      </c>
      <c r="AF736" s="469">
        <f t="shared" ref="AF736" si="232">AF740+AF737+AF747</f>
        <v>48512.6</v>
      </c>
      <c r="AG736" s="478">
        <f t="shared" si="218"/>
        <v>0.99722699008171034</v>
      </c>
    </row>
    <row r="737" spans="1:35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X737" s="356" t="s">
        <v>722</v>
      </c>
      <c r="Y737" s="348">
        <v>901</v>
      </c>
      <c r="Z737" s="401" t="s">
        <v>8</v>
      </c>
      <c r="AA737" s="350" t="s">
        <v>7</v>
      </c>
      <c r="AB737" s="355" t="s">
        <v>723</v>
      </c>
      <c r="AC737" s="373"/>
      <c r="AD737" s="382">
        <f t="shared" ref="AD737:AF738" si="233">AD738</f>
        <v>4500</v>
      </c>
      <c r="AE737" s="382">
        <f t="shared" si="233"/>
        <v>4500</v>
      </c>
      <c r="AF737" s="469">
        <f t="shared" si="233"/>
        <v>4429.6000000000004</v>
      </c>
      <c r="AG737" s="478">
        <f t="shared" si="218"/>
        <v>0.98435555555555565</v>
      </c>
    </row>
    <row r="738" spans="1:35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X738" s="347" t="s">
        <v>61</v>
      </c>
      <c r="Y738" s="348">
        <v>901</v>
      </c>
      <c r="Z738" s="401" t="s">
        <v>8</v>
      </c>
      <c r="AA738" s="350" t="s">
        <v>7</v>
      </c>
      <c r="AB738" s="355" t="s">
        <v>723</v>
      </c>
      <c r="AC738" s="357">
        <v>600</v>
      </c>
      <c r="AD738" s="382">
        <f t="shared" si="233"/>
        <v>4500</v>
      </c>
      <c r="AE738" s="382">
        <f t="shared" si="233"/>
        <v>4500</v>
      </c>
      <c r="AF738" s="469">
        <f t="shared" si="233"/>
        <v>4429.6000000000004</v>
      </c>
      <c r="AG738" s="478">
        <f t="shared" si="218"/>
        <v>0.98435555555555565</v>
      </c>
    </row>
    <row r="739" spans="1:3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X739" s="347" t="s">
        <v>62</v>
      </c>
      <c r="Y739" s="348">
        <v>901</v>
      </c>
      <c r="Z739" s="401" t="s">
        <v>8</v>
      </c>
      <c r="AA739" s="350" t="s">
        <v>7</v>
      </c>
      <c r="AB739" s="355" t="s">
        <v>723</v>
      </c>
      <c r="AC739" s="357">
        <v>610</v>
      </c>
      <c r="AD739" s="382">
        <v>4500</v>
      </c>
      <c r="AE739" s="382">
        <v>4500</v>
      </c>
      <c r="AF739" s="469">
        <v>4429.6000000000004</v>
      </c>
      <c r="AG739" s="478">
        <f t="shared" si="218"/>
        <v>0.98435555555555565</v>
      </c>
    </row>
    <row r="740" spans="1:35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X740" s="356" t="s">
        <v>277</v>
      </c>
      <c r="Y740" s="348">
        <v>901</v>
      </c>
      <c r="Z740" s="401" t="s">
        <v>8</v>
      </c>
      <c r="AA740" s="350" t="s">
        <v>7</v>
      </c>
      <c r="AB740" s="355" t="s">
        <v>512</v>
      </c>
      <c r="AC740" s="425"/>
      <c r="AD740" s="443">
        <f>AD741+AD744</f>
        <v>42099.499999999993</v>
      </c>
      <c r="AE740" s="443">
        <f>AE741+AE744</f>
        <v>42099.499999999993</v>
      </c>
      <c r="AF740" s="469">
        <f t="shared" ref="AF740" si="234">AF741+AF744</f>
        <v>42035</v>
      </c>
      <c r="AG740" s="478">
        <f t="shared" si="218"/>
        <v>0.99846791529590628</v>
      </c>
    </row>
    <row r="741" spans="1:35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X741" s="347" t="s">
        <v>343</v>
      </c>
      <c r="Y741" s="348">
        <v>901</v>
      </c>
      <c r="Z741" s="401" t="s">
        <v>8</v>
      </c>
      <c r="AA741" s="350" t="s">
        <v>7</v>
      </c>
      <c r="AB741" s="355" t="s">
        <v>513</v>
      </c>
      <c r="AC741" s="426"/>
      <c r="AD741" s="382">
        <f t="shared" ref="AD741:AF742" si="235">AD742</f>
        <v>42009.499999999993</v>
      </c>
      <c r="AE741" s="382">
        <f t="shared" si="235"/>
        <v>42009.499999999993</v>
      </c>
      <c r="AF741" s="469">
        <f t="shared" si="235"/>
        <v>42009.5</v>
      </c>
      <c r="AG741" s="478">
        <f t="shared" si="218"/>
        <v>1.0000000000000002</v>
      </c>
    </row>
    <row r="742" spans="1:35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X742" s="347" t="s">
        <v>61</v>
      </c>
      <c r="Y742" s="348">
        <v>901</v>
      </c>
      <c r="Z742" s="401" t="s">
        <v>8</v>
      </c>
      <c r="AA742" s="350" t="s">
        <v>7</v>
      </c>
      <c r="AB742" s="355" t="s">
        <v>513</v>
      </c>
      <c r="AC742" s="357">
        <v>600</v>
      </c>
      <c r="AD742" s="382">
        <f t="shared" si="235"/>
        <v>42009.499999999993</v>
      </c>
      <c r="AE742" s="382">
        <f t="shared" si="235"/>
        <v>42009.499999999993</v>
      </c>
      <c r="AF742" s="469">
        <f t="shared" si="235"/>
        <v>42009.5</v>
      </c>
      <c r="AG742" s="478">
        <f t="shared" si="218"/>
        <v>1.0000000000000002</v>
      </c>
    </row>
    <row r="743" spans="1:3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X743" s="347" t="s">
        <v>62</v>
      </c>
      <c r="Y743" s="348">
        <v>901</v>
      </c>
      <c r="Z743" s="401" t="s">
        <v>8</v>
      </c>
      <c r="AA743" s="350" t="s">
        <v>7</v>
      </c>
      <c r="AB743" s="355" t="s">
        <v>513</v>
      </c>
      <c r="AC743" s="357">
        <v>610</v>
      </c>
      <c r="AD743" s="353">
        <f>54620.1-10000-2778.8+168.2</f>
        <v>42009.499999999993</v>
      </c>
      <c r="AE743" s="353">
        <f>54620.1-10000-2778.8+168.2</f>
        <v>42009.499999999993</v>
      </c>
      <c r="AF743" s="468">
        <v>42009.5</v>
      </c>
      <c r="AG743" s="478">
        <f t="shared" si="218"/>
        <v>1.0000000000000002</v>
      </c>
    </row>
    <row r="744" spans="1:35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X744" s="216" t="s">
        <v>761</v>
      </c>
      <c r="Y744" s="11">
        <v>901</v>
      </c>
      <c r="Z744" s="2" t="s">
        <v>8</v>
      </c>
      <c r="AA744" s="4" t="s">
        <v>7</v>
      </c>
      <c r="AB744" s="118" t="s">
        <v>762</v>
      </c>
      <c r="AC744" s="299"/>
      <c r="AD744" s="123">
        <f>AD745</f>
        <v>90</v>
      </c>
      <c r="AE744" s="123">
        <f>AE745</f>
        <v>90</v>
      </c>
      <c r="AF744" s="313">
        <f t="shared" ref="AF744" si="236">AF745</f>
        <v>25.5</v>
      </c>
      <c r="AG744" s="478">
        <f t="shared" si="218"/>
        <v>0.28333333333333333</v>
      </c>
    </row>
    <row r="745" spans="1:35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X745" s="216" t="s">
        <v>61</v>
      </c>
      <c r="Y745" s="11">
        <v>901</v>
      </c>
      <c r="Z745" s="2" t="s">
        <v>8</v>
      </c>
      <c r="AA745" s="4" t="s">
        <v>7</v>
      </c>
      <c r="AB745" s="118" t="s">
        <v>762</v>
      </c>
      <c r="AC745" s="299">
        <v>600</v>
      </c>
      <c r="AD745" s="123">
        <f>AD746</f>
        <v>90</v>
      </c>
      <c r="AE745" s="123">
        <f>AE746</f>
        <v>90</v>
      </c>
      <c r="AF745" s="313">
        <f t="shared" ref="AF745" si="237">AF746</f>
        <v>25.5</v>
      </c>
      <c r="AG745" s="478">
        <f t="shared" si="218"/>
        <v>0.28333333333333333</v>
      </c>
    </row>
    <row r="746" spans="1:3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X746" s="216" t="s">
        <v>62</v>
      </c>
      <c r="Y746" s="11">
        <v>901</v>
      </c>
      <c r="Z746" s="2" t="s">
        <v>8</v>
      </c>
      <c r="AA746" s="4" t="s">
        <v>7</v>
      </c>
      <c r="AB746" s="118" t="s">
        <v>762</v>
      </c>
      <c r="AC746" s="299">
        <v>610</v>
      </c>
      <c r="AD746" s="123">
        <v>90</v>
      </c>
      <c r="AE746" s="123">
        <v>90</v>
      </c>
      <c r="AF746" s="313">
        <v>25.5</v>
      </c>
      <c r="AG746" s="478">
        <f t="shared" si="218"/>
        <v>0.28333333333333333</v>
      </c>
    </row>
    <row r="747" spans="1:35" ht="30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X747" s="216" t="s">
        <v>796</v>
      </c>
      <c r="Y747" s="11">
        <v>901</v>
      </c>
      <c r="Z747" s="2" t="s">
        <v>8</v>
      </c>
      <c r="AA747" s="4" t="s">
        <v>7</v>
      </c>
      <c r="AB747" s="226" t="s">
        <v>814</v>
      </c>
      <c r="AC747" s="240"/>
      <c r="AD747" s="123">
        <f>AD748</f>
        <v>2048</v>
      </c>
      <c r="AE747" s="123">
        <f>AE748</f>
        <v>2048</v>
      </c>
      <c r="AF747" s="313">
        <f t="shared" ref="AF747:AF748" si="238">AF748</f>
        <v>2048</v>
      </c>
      <c r="AG747" s="478">
        <f t="shared" si="218"/>
        <v>1</v>
      </c>
    </row>
    <row r="748" spans="1:35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X748" s="216" t="s">
        <v>61</v>
      </c>
      <c r="Y748" s="11">
        <v>901</v>
      </c>
      <c r="Z748" s="2" t="s">
        <v>8</v>
      </c>
      <c r="AA748" s="4" t="s">
        <v>7</v>
      </c>
      <c r="AB748" s="226" t="s">
        <v>814</v>
      </c>
      <c r="AC748" s="299">
        <v>600</v>
      </c>
      <c r="AD748" s="123">
        <f>AD749</f>
        <v>2048</v>
      </c>
      <c r="AE748" s="123">
        <f>AE749</f>
        <v>2048</v>
      </c>
      <c r="AF748" s="313">
        <f t="shared" si="238"/>
        <v>2048</v>
      </c>
      <c r="AG748" s="478">
        <f t="shared" si="218"/>
        <v>1</v>
      </c>
    </row>
    <row r="749" spans="1:3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X749" s="216" t="s">
        <v>62</v>
      </c>
      <c r="Y749" s="11">
        <v>901</v>
      </c>
      <c r="Z749" s="2" t="s">
        <v>8</v>
      </c>
      <c r="AA749" s="4" t="s">
        <v>7</v>
      </c>
      <c r="AB749" s="226" t="s">
        <v>814</v>
      </c>
      <c r="AC749" s="299">
        <v>610</v>
      </c>
      <c r="AD749" s="123">
        <v>2048</v>
      </c>
      <c r="AE749" s="123">
        <v>2048</v>
      </c>
      <c r="AF749" s="313">
        <v>2048</v>
      </c>
      <c r="AG749" s="478">
        <f t="shared" si="218"/>
        <v>1</v>
      </c>
    </row>
    <row r="750" spans="1:35" ht="31.5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X750" s="356" t="s">
        <v>514</v>
      </c>
      <c r="Y750" s="348">
        <v>901</v>
      </c>
      <c r="Z750" s="349" t="s">
        <v>8</v>
      </c>
      <c r="AA750" s="350" t="s">
        <v>7</v>
      </c>
      <c r="AB750" s="355" t="s">
        <v>515</v>
      </c>
      <c r="AC750" s="352"/>
      <c r="AD750" s="382">
        <f>AD751</f>
        <v>27900.899999999998</v>
      </c>
      <c r="AE750" s="382">
        <f>AE751</f>
        <v>27900.899999999998</v>
      </c>
      <c r="AF750" s="469">
        <f>AF751</f>
        <v>27900.9</v>
      </c>
      <c r="AG750" s="478">
        <f t="shared" si="218"/>
        <v>1.0000000000000002</v>
      </c>
      <c r="AH750" s="3"/>
      <c r="AI750" s="3"/>
    </row>
    <row r="751" spans="1:35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X751" s="365" t="s">
        <v>157</v>
      </c>
      <c r="Y751" s="348">
        <v>901</v>
      </c>
      <c r="Z751" s="401" t="s">
        <v>8</v>
      </c>
      <c r="AA751" s="350" t="s">
        <v>7</v>
      </c>
      <c r="AB751" s="355" t="s">
        <v>516</v>
      </c>
      <c r="AC751" s="357"/>
      <c r="AD751" s="353">
        <f>AD752</f>
        <v>27900.899999999998</v>
      </c>
      <c r="AE751" s="353">
        <f t="shared" ref="AE751:AF751" si="239">AE752</f>
        <v>27900.899999999998</v>
      </c>
      <c r="AF751" s="353">
        <f t="shared" si="239"/>
        <v>27900.9</v>
      </c>
      <c r="AG751" s="478">
        <f t="shared" si="218"/>
        <v>1.0000000000000002</v>
      </c>
      <c r="AH751" s="3"/>
      <c r="AI751" s="3"/>
    </row>
    <row r="752" spans="1:35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X752" s="347" t="s">
        <v>61</v>
      </c>
      <c r="Y752" s="348">
        <v>901</v>
      </c>
      <c r="Z752" s="401" t="s">
        <v>8</v>
      </c>
      <c r="AA752" s="350" t="s">
        <v>7</v>
      </c>
      <c r="AB752" s="355" t="s">
        <v>516</v>
      </c>
      <c r="AC752" s="357">
        <v>600</v>
      </c>
      <c r="AD752" s="353">
        <f>AD753</f>
        <v>27900.899999999998</v>
      </c>
      <c r="AE752" s="353">
        <f t="shared" ref="AE752:AF752" si="240">AE753</f>
        <v>27900.899999999998</v>
      </c>
      <c r="AF752" s="353">
        <f t="shared" si="240"/>
        <v>27900.9</v>
      </c>
      <c r="AG752" s="478">
        <f t="shared" si="218"/>
        <v>1.0000000000000002</v>
      </c>
      <c r="AH752" s="3"/>
      <c r="AI752" s="3"/>
    </row>
    <row r="753" spans="24:33" s="3" customFormat="1" x14ac:dyDescent="0.25">
      <c r="X753" s="347" t="s">
        <v>62</v>
      </c>
      <c r="Y753" s="348">
        <v>901</v>
      </c>
      <c r="Z753" s="401" t="s">
        <v>8</v>
      </c>
      <c r="AA753" s="350" t="s">
        <v>7</v>
      </c>
      <c r="AB753" s="355" t="s">
        <v>516</v>
      </c>
      <c r="AC753" s="357">
        <v>610</v>
      </c>
      <c r="AD753" s="353">
        <f>629.3+16498.1+10000+2778.8-2005.3</f>
        <v>27900.899999999998</v>
      </c>
      <c r="AE753" s="353">
        <f>629.3+16498.1+10000+2778.8-2005.3</f>
        <v>27900.899999999998</v>
      </c>
      <c r="AF753" s="468">
        <v>27900.9</v>
      </c>
      <c r="AG753" s="478">
        <f t="shared" si="218"/>
        <v>1.0000000000000002</v>
      </c>
    </row>
    <row r="754" spans="24:33" s="3" customFormat="1" ht="31.5" x14ac:dyDescent="0.25">
      <c r="X754" s="354" t="s">
        <v>163</v>
      </c>
      <c r="Y754" s="348">
        <v>901</v>
      </c>
      <c r="Z754" s="401" t="s">
        <v>8</v>
      </c>
      <c r="AA754" s="350" t="s">
        <v>7</v>
      </c>
      <c r="AB754" s="351" t="s">
        <v>103</v>
      </c>
      <c r="AC754" s="357"/>
      <c r="AD754" s="353">
        <f t="shared" ref="AD754:AF758" si="241">AD755</f>
        <v>4400</v>
      </c>
      <c r="AE754" s="353">
        <f t="shared" si="241"/>
        <v>4400</v>
      </c>
      <c r="AF754" s="468">
        <f t="shared" si="241"/>
        <v>4279.8</v>
      </c>
      <c r="AG754" s="478">
        <f t="shared" ref="AG754:AG806" si="242">AF754/AE754</f>
        <v>0.9726818181818182</v>
      </c>
    </row>
    <row r="755" spans="24:33" s="3" customFormat="1" ht="31.5" x14ac:dyDescent="0.25">
      <c r="X755" s="356" t="s">
        <v>375</v>
      </c>
      <c r="Y755" s="348">
        <v>901</v>
      </c>
      <c r="Z755" s="401" t="s">
        <v>8</v>
      </c>
      <c r="AA755" s="350" t="s">
        <v>7</v>
      </c>
      <c r="AB755" s="396" t="s">
        <v>105</v>
      </c>
      <c r="AC755" s="427"/>
      <c r="AD755" s="353">
        <f t="shared" si="241"/>
        <v>4400</v>
      </c>
      <c r="AE755" s="353">
        <f t="shared" si="241"/>
        <v>4400</v>
      </c>
      <c r="AF755" s="468">
        <f t="shared" si="241"/>
        <v>4279.8</v>
      </c>
      <c r="AG755" s="478">
        <f t="shared" si="242"/>
        <v>0.9726818181818182</v>
      </c>
    </row>
    <row r="756" spans="24:33" s="3" customFormat="1" ht="31.5" x14ac:dyDescent="0.25">
      <c r="X756" s="403" t="s">
        <v>607</v>
      </c>
      <c r="Y756" s="348">
        <v>901</v>
      </c>
      <c r="Z756" s="401" t="s">
        <v>8</v>
      </c>
      <c r="AA756" s="350" t="s">
        <v>7</v>
      </c>
      <c r="AB756" s="396" t="s">
        <v>125</v>
      </c>
      <c r="AC756" s="428"/>
      <c r="AD756" s="353">
        <f t="shared" si="241"/>
        <v>4400</v>
      </c>
      <c r="AE756" s="353">
        <f t="shared" si="241"/>
        <v>4400</v>
      </c>
      <c r="AF756" s="468">
        <f t="shared" si="241"/>
        <v>4279.8</v>
      </c>
      <c r="AG756" s="478">
        <f t="shared" si="242"/>
        <v>0.9726818181818182</v>
      </c>
    </row>
    <row r="757" spans="24:33" s="3" customFormat="1" x14ac:dyDescent="0.25">
      <c r="X757" s="366" t="s">
        <v>173</v>
      </c>
      <c r="Y757" s="348">
        <v>901</v>
      </c>
      <c r="Z757" s="401" t="s">
        <v>8</v>
      </c>
      <c r="AA757" s="350" t="s">
        <v>7</v>
      </c>
      <c r="AB757" s="396" t="s">
        <v>174</v>
      </c>
      <c r="AC757" s="427"/>
      <c r="AD757" s="353">
        <f t="shared" si="241"/>
        <v>4400</v>
      </c>
      <c r="AE757" s="353">
        <f t="shared" si="241"/>
        <v>4400</v>
      </c>
      <c r="AF757" s="468">
        <f t="shared" si="241"/>
        <v>4279.8</v>
      </c>
      <c r="AG757" s="478">
        <f t="shared" si="242"/>
        <v>0.9726818181818182</v>
      </c>
    </row>
    <row r="758" spans="24:33" s="3" customFormat="1" ht="31.5" x14ac:dyDescent="0.25">
      <c r="X758" s="347" t="s">
        <v>61</v>
      </c>
      <c r="Y758" s="348">
        <v>901</v>
      </c>
      <c r="Z758" s="401" t="s">
        <v>8</v>
      </c>
      <c r="AA758" s="350" t="s">
        <v>7</v>
      </c>
      <c r="AB758" s="396" t="s">
        <v>174</v>
      </c>
      <c r="AC758" s="357">
        <v>600</v>
      </c>
      <c r="AD758" s="353">
        <f t="shared" si="241"/>
        <v>4400</v>
      </c>
      <c r="AE758" s="353">
        <f t="shared" si="241"/>
        <v>4400</v>
      </c>
      <c r="AF758" s="468">
        <f t="shared" si="241"/>
        <v>4279.8</v>
      </c>
      <c r="AG758" s="478">
        <f t="shared" si="242"/>
        <v>0.9726818181818182</v>
      </c>
    </row>
    <row r="759" spans="24:33" s="3" customFormat="1" x14ac:dyDescent="0.25">
      <c r="X759" s="347" t="s">
        <v>62</v>
      </c>
      <c r="Y759" s="348">
        <v>901</v>
      </c>
      <c r="Z759" s="401" t="s">
        <v>8</v>
      </c>
      <c r="AA759" s="350" t="s">
        <v>7</v>
      </c>
      <c r="AB759" s="396" t="s">
        <v>174</v>
      </c>
      <c r="AC759" s="357">
        <v>610</v>
      </c>
      <c r="AD759" s="353">
        <v>4400</v>
      </c>
      <c r="AE759" s="353">
        <v>4400</v>
      </c>
      <c r="AF759" s="468">
        <v>4279.8</v>
      </c>
      <c r="AG759" s="478">
        <f t="shared" si="242"/>
        <v>0.9726818181818182</v>
      </c>
    </row>
    <row r="760" spans="24:33" s="3" customFormat="1" x14ac:dyDescent="0.25">
      <c r="X760" s="347" t="s">
        <v>136</v>
      </c>
      <c r="Y760" s="348">
        <v>901</v>
      </c>
      <c r="Z760" s="349" t="s">
        <v>8</v>
      </c>
      <c r="AA760" s="350" t="s">
        <v>8</v>
      </c>
      <c r="AB760" s="355"/>
      <c r="AC760" s="357"/>
      <c r="AD760" s="353">
        <f t="shared" ref="AD760:AE765" si="243">AD761</f>
        <v>1038.7</v>
      </c>
      <c r="AE760" s="353">
        <f t="shared" si="243"/>
        <v>1038.7</v>
      </c>
      <c r="AF760" s="468">
        <f t="shared" ref="AF760:AF765" si="244">AF761</f>
        <v>1038.5999999999999</v>
      </c>
      <c r="AG760" s="478">
        <f t="shared" si="242"/>
        <v>0.99990372581110987</v>
      </c>
    </row>
    <row r="761" spans="24:33" s="3" customFormat="1" ht="31.5" x14ac:dyDescent="0.25">
      <c r="X761" s="356" t="s">
        <v>306</v>
      </c>
      <c r="Y761" s="348">
        <v>901</v>
      </c>
      <c r="Z761" s="349" t="s">
        <v>8</v>
      </c>
      <c r="AA761" s="350" t="s">
        <v>8</v>
      </c>
      <c r="AB761" s="355" t="s">
        <v>132</v>
      </c>
      <c r="AC761" s="357"/>
      <c r="AD761" s="353">
        <f t="shared" si="243"/>
        <v>1038.7</v>
      </c>
      <c r="AE761" s="353">
        <f t="shared" si="243"/>
        <v>1038.7</v>
      </c>
      <c r="AF761" s="468">
        <f t="shared" si="244"/>
        <v>1038.5999999999999</v>
      </c>
      <c r="AG761" s="478">
        <f t="shared" si="242"/>
        <v>0.99990372581110987</v>
      </c>
    </row>
    <row r="762" spans="24:33" s="3" customFormat="1" x14ac:dyDescent="0.25">
      <c r="X762" s="356" t="s">
        <v>315</v>
      </c>
      <c r="Y762" s="348">
        <v>901</v>
      </c>
      <c r="Z762" s="387" t="s">
        <v>8</v>
      </c>
      <c r="AA762" s="388" t="s">
        <v>8</v>
      </c>
      <c r="AB762" s="355" t="s">
        <v>316</v>
      </c>
      <c r="AC762" s="357"/>
      <c r="AD762" s="353">
        <f t="shared" si="243"/>
        <v>1038.7</v>
      </c>
      <c r="AE762" s="353">
        <f t="shared" si="243"/>
        <v>1038.7</v>
      </c>
      <c r="AF762" s="468">
        <f t="shared" si="244"/>
        <v>1038.5999999999999</v>
      </c>
      <c r="AG762" s="478">
        <f t="shared" si="242"/>
        <v>0.99990372581110987</v>
      </c>
    </row>
    <row r="763" spans="24:33" s="3" customFormat="1" ht="63" x14ac:dyDescent="0.25">
      <c r="X763" s="359" t="s">
        <v>618</v>
      </c>
      <c r="Y763" s="348">
        <v>901</v>
      </c>
      <c r="Z763" s="387" t="s">
        <v>8</v>
      </c>
      <c r="AA763" s="388" t="s">
        <v>8</v>
      </c>
      <c r="AB763" s="429" t="s">
        <v>620</v>
      </c>
      <c r="AC763" s="399"/>
      <c r="AD763" s="353">
        <f t="shared" si="243"/>
        <v>1038.7</v>
      </c>
      <c r="AE763" s="353">
        <f t="shared" si="243"/>
        <v>1038.7</v>
      </c>
      <c r="AF763" s="468">
        <f t="shared" si="244"/>
        <v>1038.5999999999999</v>
      </c>
      <c r="AG763" s="478">
        <f t="shared" si="242"/>
        <v>0.99990372581110987</v>
      </c>
    </row>
    <row r="764" spans="24:33" s="3" customFormat="1" ht="31.5" x14ac:dyDescent="0.25">
      <c r="X764" s="359" t="s">
        <v>619</v>
      </c>
      <c r="Y764" s="348">
        <v>901</v>
      </c>
      <c r="Z764" s="349" t="s">
        <v>8</v>
      </c>
      <c r="AA764" s="350" t="s">
        <v>8</v>
      </c>
      <c r="AB764" s="429" t="s">
        <v>621</v>
      </c>
      <c r="AC764" s="399"/>
      <c r="AD764" s="353">
        <f t="shared" si="243"/>
        <v>1038.7</v>
      </c>
      <c r="AE764" s="353">
        <f t="shared" si="243"/>
        <v>1038.7</v>
      </c>
      <c r="AF764" s="468">
        <f t="shared" si="244"/>
        <v>1038.5999999999999</v>
      </c>
      <c r="AG764" s="478">
        <f t="shared" si="242"/>
        <v>0.99990372581110987</v>
      </c>
    </row>
    <row r="765" spans="24:33" s="3" customFormat="1" ht="31.5" x14ac:dyDescent="0.25">
      <c r="X765" s="347" t="s">
        <v>61</v>
      </c>
      <c r="Y765" s="348">
        <v>901</v>
      </c>
      <c r="Z765" s="387" t="s">
        <v>8</v>
      </c>
      <c r="AA765" s="388" t="s">
        <v>8</v>
      </c>
      <c r="AB765" s="429" t="s">
        <v>621</v>
      </c>
      <c r="AC765" s="357">
        <v>600</v>
      </c>
      <c r="AD765" s="353">
        <f t="shared" si="243"/>
        <v>1038.7</v>
      </c>
      <c r="AE765" s="353">
        <f t="shared" si="243"/>
        <v>1038.7</v>
      </c>
      <c r="AF765" s="468">
        <f t="shared" si="244"/>
        <v>1038.5999999999999</v>
      </c>
      <c r="AG765" s="478">
        <f t="shared" si="242"/>
        <v>0.99990372581110987</v>
      </c>
    </row>
    <row r="766" spans="24:33" s="3" customFormat="1" x14ac:dyDescent="0.25">
      <c r="X766" s="347" t="s">
        <v>62</v>
      </c>
      <c r="Y766" s="348">
        <v>901</v>
      </c>
      <c r="Z766" s="387" t="s">
        <v>8</v>
      </c>
      <c r="AA766" s="388" t="s">
        <v>8</v>
      </c>
      <c r="AB766" s="429" t="s">
        <v>621</v>
      </c>
      <c r="AC766" s="357">
        <v>610</v>
      </c>
      <c r="AD766" s="353">
        <f>957+81.7</f>
        <v>1038.7</v>
      </c>
      <c r="AE766" s="353">
        <f>957+81.7</f>
        <v>1038.7</v>
      </c>
      <c r="AF766" s="468">
        <v>1038.5999999999999</v>
      </c>
      <c r="AG766" s="478">
        <f t="shared" si="242"/>
        <v>0.99990372581110987</v>
      </c>
    </row>
    <row r="767" spans="24:33" s="3" customFormat="1" x14ac:dyDescent="0.25">
      <c r="X767" s="347" t="s">
        <v>38</v>
      </c>
      <c r="Y767" s="348">
        <v>901</v>
      </c>
      <c r="Z767" s="349" t="s">
        <v>8</v>
      </c>
      <c r="AA767" s="350" t="s">
        <v>22</v>
      </c>
      <c r="AB767" s="351"/>
      <c r="AC767" s="357"/>
      <c r="AD767" s="353">
        <f>AD768+AD783</f>
        <v>31657.799999999996</v>
      </c>
      <c r="AE767" s="353">
        <f t="shared" ref="AE767:AF767" si="245">AE768+AE783</f>
        <v>31657.799999999996</v>
      </c>
      <c r="AF767" s="353">
        <f t="shared" si="245"/>
        <v>31150.699999999997</v>
      </c>
      <c r="AG767" s="478">
        <f t="shared" si="242"/>
        <v>0.98398183070207035</v>
      </c>
    </row>
    <row r="768" spans="24:33" s="3" customFormat="1" x14ac:dyDescent="0.25">
      <c r="X768" s="356" t="s">
        <v>270</v>
      </c>
      <c r="Y768" s="348">
        <v>901</v>
      </c>
      <c r="Z768" s="349" t="s">
        <v>8</v>
      </c>
      <c r="AA768" s="350" t="s">
        <v>22</v>
      </c>
      <c r="AB768" s="351" t="s">
        <v>101</v>
      </c>
      <c r="AC768" s="352"/>
      <c r="AD768" s="353">
        <f t="shared" ref="AD768:AF770" si="246">AD769</f>
        <v>28143.799999999996</v>
      </c>
      <c r="AE768" s="353">
        <f t="shared" si="246"/>
        <v>28143.799999999996</v>
      </c>
      <c r="AF768" s="353">
        <f t="shared" si="246"/>
        <v>27704.699999999997</v>
      </c>
      <c r="AG768" s="478">
        <f t="shared" si="242"/>
        <v>0.98439798463604777</v>
      </c>
    </row>
    <row r="769" spans="24:33" s="3" customFormat="1" x14ac:dyDescent="0.25">
      <c r="X769" s="356" t="s">
        <v>381</v>
      </c>
      <c r="Y769" s="348" t="s">
        <v>440</v>
      </c>
      <c r="Z769" s="349" t="s">
        <v>8</v>
      </c>
      <c r="AA769" s="350" t="s">
        <v>22</v>
      </c>
      <c r="AB769" s="355" t="s">
        <v>517</v>
      </c>
      <c r="AC769" s="357"/>
      <c r="AD769" s="353">
        <f t="shared" si="246"/>
        <v>28143.799999999996</v>
      </c>
      <c r="AE769" s="353">
        <f t="shared" si="246"/>
        <v>28143.799999999996</v>
      </c>
      <c r="AF769" s="353">
        <f t="shared" si="246"/>
        <v>27704.699999999997</v>
      </c>
      <c r="AG769" s="478">
        <f t="shared" si="242"/>
        <v>0.98439798463604777</v>
      </c>
    </row>
    <row r="770" spans="24:33" s="3" customFormat="1" ht="31.5" x14ac:dyDescent="0.25">
      <c r="X770" s="356" t="s">
        <v>278</v>
      </c>
      <c r="Y770" s="348" t="s">
        <v>440</v>
      </c>
      <c r="Z770" s="349" t="s">
        <v>8</v>
      </c>
      <c r="AA770" s="350" t="s">
        <v>22</v>
      </c>
      <c r="AB770" s="355" t="s">
        <v>518</v>
      </c>
      <c r="AC770" s="357"/>
      <c r="AD770" s="353">
        <f>AD771</f>
        <v>28143.799999999996</v>
      </c>
      <c r="AE770" s="353">
        <f t="shared" si="246"/>
        <v>28143.799999999996</v>
      </c>
      <c r="AF770" s="353">
        <f t="shared" si="246"/>
        <v>27704.699999999997</v>
      </c>
      <c r="AG770" s="478">
        <f t="shared" si="242"/>
        <v>0.98439798463604777</v>
      </c>
    </row>
    <row r="771" spans="24:33" s="3" customFormat="1" x14ac:dyDescent="0.25">
      <c r="X771" s="365" t="s">
        <v>207</v>
      </c>
      <c r="Y771" s="348" t="s">
        <v>440</v>
      </c>
      <c r="Z771" s="349" t="s">
        <v>8</v>
      </c>
      <c r="AA771" s="350" t="s">
        <v>22</v>
      </c>
      <c r="AB771" s="355" t="s">
        <v>519</v>
      </c>
      <c r="AC771" s="357"/>
      <c r="AD771" s="353">
        <f>AD772+AD777+AD780</f>
        <v>28143.799999999996</v>
      </c>
      <c r="AE771" s="353">
        <f>AE772+AE777+AE780</f>
        <v>28143.799999999996</v>
      </c>
      <c r="AF771" s="468">
        <f>AF772+AF777+AF780</f>
        <v>27704.699999999997</v>
      </c>
      <c r="AG771" s="478">
        <f t="shared" si="242"/>
        <v>0.98439798463604777</v>
      </c>
    </row>
    <row r="772" spans="24:33" s="3" customFormat="1" ht="31.5" x14ac:dyDescent="0.25">
      <c r="X772" s="347" t="s">
        <v>208</v>
      </c>
      <c r="Y772" s="348" t="s">
        <v>440</v>
      </c>
      <c r="Z772" s="349" t="s">
        <v>8</v>
      </c>
      <c r="AA772" s="350" t="s">
        <v>22</v>
      </c>
      <c r="AB772" s="355" t="s">
        <v>520</v>
      </c>
      <c r="AC772" s="357"/>
      <c r="AD772" s="353">
        <f>AD773+AD775</f>
        <v>1435.8</v>
      </c>
      <c r="AE772" s="353">
        <f>AE773+AE775</f>
        <v>1435.8</v>
      </c>
      <c r="AF772" s="468">
        <f>AF773+AF775</f>
        <v>1338.4</v>
      </c>
      <c r="AG772" s="478">
        <f t="shared" si="242"/>
        <v>0.93216325393508859</v>
      </c>
    </row>
    <row r="773" spans="24:33" s="3" customFormat="1" x14ac:dyDescent="0.25">
      <c r="X773" s="347" t="s">
        <v>121</v>
      </c>
      <c r="Y773" s="348" t="s">
        <v>440</v>
      </c>
      <c r="Z773" s="349" t="s">
        <v>8</v>
      </c>
      <c r="AA773" s="350" t="s">
        <v>22</v>
      </c>
      <c r="AB773" s="355" t="s">
        <v>520</v>
      </c>
      <c r="AC773" s="357">
        <v>200</v>
      </c>
      <c r="AD773" s="353">
        <f>AD774</f>
        <v>1435.7</v>
      </c>
      <c r="AE773" s="353">
        <f>AE774</f>
        <v>1435.7</v>
      </c>
      <c r="AF773" s="468">
        <f>AF774</f>
        <v>1338.4</v>
      </c>
      <c r="AG773" s="478">
        <f t="shared" si="242"/>
        <v>0.93222818137493912</v>
      </c>
    </row>
    <row r="774" spans="24:33" s="3" customFormat="1" ht="31.5" x14ac:dyDescent="0.25">
      <c r="X774" s="347" t="s">
        <v>52</v>
      </c>
      <c r="Y774" s="348" t="s">
        <v>440</v>
      </c>
      <c r="Z774" s="349" t="s">
        <v>8</v>
      </c>
      <c r="AA774" s="350" t="s">
        <v>22</v>
      </c>
      <c r="AB774" s="355" t="s">
        <v>520</v>
      </c>
      <c r="AC774" s="357">
        <v>240</v>
      </c>
      <c r="AD774" s="353">
        <f>1389.3+46.5-0.1</f>
        <v>1435.7</v>
      </c>
      <c r="AE774" s="353">
        <f>1389.3+46.5-0.1</f>
        <v>1435.7</v>
      </c>
      <c r="AF774" s="468">
        <v>1338.4</v>
      </c>
      <c r="AG774" s="478">
        <f t="shared" si="242"/>
        <v>0.93222818137493912</v>
      </c>
    </row>
    <row r="775" spans="24:33" s="3" customFormat="1" x14ac:dyDescent="0.25">
      <c r="X775" s="347" t="s">
        <v>42</v>
      </c>
      <c r="Y775" s="348" t="s">
        <v>440</v>
      </c>
      <c r="Z775" s="349" t="s">
        <v>8</v>
      </c>
      <c r="AA775" s="350" t="s">
        <v>22</v>
      </c>
      <c r="AB775" s="355" t="s">
        <v>520</v>
      </c>
      <c r="AC775" s="357">
        <v>800</v>
      </c>
      <c r="AD775" s="353">
        <f>AD776</f>
        <v>0.1</v>
      </c>
      <c r="AE775" s="353">
        <f>AE776</f>
        <v>0.1</v>
      </c>
      <c r="AF775" s="468">
        <f>AF776</f>
        <v>0</v>
      </c>
      <c r="AG775" s="478">
        <f t="shared" si="242"/>
        <v>0</v>
      </c>
    </row>
    <row r="776" spans="24:33" s="3" customFormat="1" x14ac:dyDescent="0.25">
      <c r="X776" s="347" t="s">
        <v>58</v>
      </c>
      <c r="Y776" s="348" t="s">
        <v>440</v>
      </c>
      <c r="Z776" s="349" t="s">
        <v>8</v>
      </c>
      <c r="AA776" s="350" t="s">
        <v>22</v>
      </c>
      <c r="AB776" s="355" t="s">
        <v>520</v>
      </c>
      <c r="AC776" s="357">
        <v>850</v>
      </c>
      <c r="AD776" s="353">
        <v>0.1</v>
      </c>
      <c r="AE776" s="353">
        <v>0.1</v>
      </c>
      <c r="AF776" s="468">
        <v>0</v>
      </c>
      <c r="AG776" s="478">
        <f t="shared" si="242"/>
        <v>0</v>
      </c>
    </row>
    <row r="777" spans="24:33" s="3" customFormat="1" ht="31.5" x14ac:dyDescent="0.25">
      <c r="X777" s="347" t="s">
        <v>367</v>
      </c>
      <c r="Y777" s="348" t="s">
        <v>440</v>
      </c>
      <c r="Z777" s="349" t="s">
        <v>8</v>
      </c>
      <c r="AA777" s="350" t="s">
        <v>22</v>
      </c>
      <c r="AB777" s="355" t="s">
        <v>521</v>
      </c>
      <c r="AC777" s="357"/>
      <c r="AD777" s="353">
        <f t="shared" ref="AD777:AF778" si="247">AD778</f>
        <v>10674.9</v>
      </c>
      <c r="AE777" s="353">
        <f t="shared" si="247"/>
        <v>10674.9</v>
      </c>
      <c r="AF777" s="468">
        <f t="shared" si="247"/>
        <v>10501.5</v>
      </c>
      <c r="AG777" s="478">
        <f t="shared" si="242"/>
        <v>0.98375628811511118</v>
      </c>
    </row>
    <row r="778" spans="24:33" s="3" customFormat="1" ht="47.25" x14ac:dyDescent="0.25">
      <c r="X778" s="347" t="s">
        <v>41</v>
      </c>
      <c r="Y778" s="348" t="s">
        <v>440</v>
      </c>
      <c r="Z778" s="349" t="s">
        <v>8</v>
      </c>
      <c r="AA778" s="350" t="s">
        <v>22</v>
      </c>
      <c r="AB778" s="355" t="s">
        <v>521</v>
      </c>
      <c r="AC778" s="357">
        <v>100</v>
      </c>
      <c r="AD778" s="353">
        <f t="shared" si="247"/>
        <v>10674.9</v>
      </c>
      <c r="AE778" s="353">
        <f t="shared" si="247"/>
        <v>10674.9</v>
      </c>
      <c r="AF778" s="468">
        <f t="shared" si="247"/>
        <v>10501.5</v>
      </c>
      <c r="AG778" s="478">
        <f t="shared" si="242"/>
        <v>0.98375628811511118</v>
      </c>
    </row>
    <row r="779" spans="24:33" s="3" customFormat="1" x14ac:dyDescent="0.25">
      <c r="X779" s="347" t="s">
        <v>97</v>
      </c>
      <c r="Y779" s="348" t="s">
        <v>440</v>
      </c>
      <c r="Z779" s="349" t="s">
        <v>8</v>
      </c>
      <c r="AA779" s="350" t="s">
        <v>22</v>
      </c>
      <c r="AB779" s="355" t="s">
        <v>521</v>
      </c>
      <c r="AC779" s="357">
        <v>120</v>
      </c>
      <c r="AD779" s="353">
        <f>9803.5+871.4</f>
        <v>10674.9</v>
      </c>
      <c r="AE779" s="353">
        <f>9803.5+871.4</f>
        <v>10674.9</v>
      </c>
      <c r="AF779" s="468">
        <v>10501.5</v>
      </c>
      <c r="AG779" s="478">
        <f t="shared" si="242"/>
        <v>0.98375628811511118</v>
      </c>
    </row>
    <row r="780" spans="24:33" s="3" customFormat="1" ht="31.5" x14ac:dyDescent="0.25">
      <c r="X780" s="347" t="s">
        <v>279</v>
      </c>
      <c r="Y780" s="348" t="s">
        <v>440</v>
      </c>
      <c r="Z780" s="349" t="s">
        <v>8</v>
      </c>
      <c r="AA780" s="350" t="s">
        <v>22</v>
      </c>
      <c r="AB780" s="355" t="s">
        <v>522</v>
      </c>
      <c r="AC780" s="357"/>
      <c r="AD780" s="353">
        <f t="shared" ref="AD780:AF781" si="248">AD781</f>
        <v>16033.099999999999</v>
      </c>
      <c r="AE780" s="353">
        <f t="shared" si="248"/>
        <v>16033.099999999999</v>
      </c>
      <c r="AF780" s="468">
        <f t="shared" si="248"/>
        <v>15864.8</v>
      </c>
      <c r="AG780" s="478">
        <f t="shared" si="242"/>
        <v>0.98950296573962615</v>
      </c>
    </row>
    <row r="781" spans="24:33" s="3" customFormat="1" ht="47.25" x14ac:dyDescent="0.25">
      <c r="X781" s="347" t="s">
        <v>41</v>
      </c>
      <c r="Y781" s="348" t="s">
        <v>440</v>
      </c>
      <c r="Z781" s="349" t="s">
        <v>8</v>
      </c>
      <c r="AA781" s="350" t="s">
        <v>22</v>
      </c>
      <c r="AB781" s="355" t="s">
        <v>522</v>
      </c>
      <c r="AC781" s="357">
        <v>100</v>
      </c>
      <c r="AD781" s="353">
        <f t="shared" si="248"/>
        <v>16033.099999999999</v>
      </c>
      <c r="AE781" s="353">
        <f t="shared" si="248"/>
        <v>16033.099999999999</v>
      </c>
      <c r="AF781" s="468">
        <f t="shared" si="248"/>
        <v>15864.8</v>
      </c>
      <c r="AG781" s="478">
        <f t="shared" si="242"/>
        <v>0.98950296573962615</v>
      </c>
    </row>
    <row r="782" spans="24:33" s="3" customFormat="1" x14ac:dyDescent="0.25">
      <c r="X782" s="347" t="s">
        <v>97</v>
      </c>
      <c r="Y782" s="348" t="s">
        <v>440</v>
      </c>
      <c r="Z782" s="349" t="s">
        <v>8</v>
      </c>
      <c r="AA782" s="350" t="s">
        <v>22</v>
      </c>
      <c r="AB782" s="355" t="s">
        <v>522</v>
      </c>
      <c r="AC782" s="357">
        <v>120</v>
      </c>
      <c r="AD782" s="353">
        <f>13152.9+1795.9+1084.3</f>
        <v>16033.099999999999</v>
      </c>
      <c r="AE782" s="353">
        <f>13152.9+1795.9+1084.3</f>
        <v>16033.099999999999</v>
      </c>
      <c r="AF782" s="468">
        <v>15864.8</v>
      </c>
      <c r="AG782" s="478">
        <f t="shared" si="242"/>
        <v>0.98950296573962615</v>
      </c>
    </row>
    <row r="783" spans="24:33" s="3" customFormat="1" x14ac:dyDescent="0.25">
      <c r="X783" s="354" t="s">
        <v>300</v>
      </c>
      <c r="Y783" s="348" t="s">
        <v>440</v>
      </c>
      <c r="Z783" s="349" t="s">
        <v>8</v>
      </c>
      <c r="AA783" s="350" t="s">
        <v>22</v>
      </c>
      <c r="AB783" s="355" t="s">
        <v>110</v>
      </c>
      <c r="AC783" s="357"/>
      <c r="AD783" s="353">
        <f t="shared" ref="AD783:AF785" si="249">AD784</f>
        <v>3514</v>
      </c>
      <c r="AE783" s="353">
        <f t="shared" si="249"/>
        <v>3514</v>
      </c>
      <c r="AF783" s="468">
        <f t="shared" si="249"/>
        <v>3446</v>
      </c>
      <c r="AG783" s="478">
        <f t="shared" si="242"/>
        <v>0.98064883323847463</v>
      </c>
    </row>
    <row r="784" spans="24:33" s="3" customFormat="1" x14ac:dyDescent="0.25">
      <c r="X784" s="354" t="s">
        <v>304</v>
      </c>
      <c r="Y784" s="348" t="s">
        <v>440</v>
      </c>
      <c r="Z784" s="349" t="s">
        <v>8</v>
      </c>
      <c r="AA784" s="350" t="s">
        <v>22</v>
      </c>
      <c r="AB784" s="355" t="s">
        <v>111</v>
      </c>
      <c r="AC784" s="357"/>
      <c r="AD784" s="353">
        <f t="shared" si="249"/>
        <v>3514</v>
      </c>
      <c r="AE784" s="353">
        <f t="shared" si="249"/>
        <v>3514</v>
      </c>
      <c r="AF784" s="468">
        <f t="shared" si="249"/>
        <v>3446</v>
      </c>
      <c r="AG784" s="478">
        <f t="shared" si="242"/>
        <v>0.98064883323847463</v>
      </c>
    </row>
    <row r="785" spans="24:33" s="3" customFormat="1" x14ac:dyDescent="0.25">
      <c r="X785" s="368" t="s">
        <v>552</v>
      </c>
      <c r="Y785" s="348" t="s">
        <v>440</v>
      </c>
      <c r="Z785" s="349" t="s">
        <v>8</v>
      </c>
      <c r="AA785" s="350" t="s">
        <v>22</v>
      </c>
      <c r="AB785" s="355" t="s">
        <v>538</v>
      </c>
      <c r="AC785" s="357"/>
      <c r="AD785" s="353">
        <f>AD786</f>
        <v>3514</v>
      </c>
      <c r="AE785" s="353">
        <f>AE786</f>
        <v>3514</v>
      </c>
      <c r="AF785" s="468">
        <f t="shared" si="249"/>
        <v>3446</v>
      </c>
      <c r="AG785" s="478">
        <f t="shared" si="242"/>
        <v>0.98064883323847463</v>
      </c>
    </row>
    <row r="786" spans="24:33" s="3" customFormat="1" x14ac:dyDescent="0.25">
      <c r="X786" s="368" t="s">
        <v>305</v>
      </c>
      <c r="Y786" s="348" t="s">
        <v>440</v>
      </c>
      <c r="Z786" s="349" t="s">
        <v>8</v>
      </c>
      <c r="AA786" s="350" t="s">
        <v>22</v>
      </c>
      <c r="AB786" s="355" t="s">
        <v>540</v>
      </c>
      <c r="AC786" s="357"/>
      <c r="AD786" s="353">
        <f>AD790+AD787</f>
        <v>3514</v>
      </c>
      <c r="AE786" s="353">
        <f>AE790+AE787</f>
        <v>3514</v>
      </c>
      <c r="AF786" s="468">
        <f>AF790+AF787</f>
        <v>3446</v>
      </c>
      <c r="AG786" s="478">
        <f t="shared" si="242"/>
        <v>0.98064883323847463</v>
      </c>
    </row>
    <row r="787" spans="24:33" s="3" customFormat="1" ht="47.25" x14ac:dyDescent="0.25">
      <c r="X787" s="368" t="s">
        <v>326</v>
      </c>
      <c r="Y787" s="348" t="s">
        <v>440</v>
      </c>
      <c r="Z787" s="349" t="s">
        <v>8</v>
      </c>
      <c r="AA787" s="350" t="s">
        <v>22</v>
      </c>
      <c r="AB787" s="355" t="s">
        <v>541</v>
      </c>
      <c r="AC787" s="357"/>
      <c r="AD787" s="353">
        <f>AD788</f>
        <v>1905.9</v>
      </c>
      <c r="AE787" s="353">
        <f>AE788</f>
        <v>1905.9</v>
      </c>
      <c r="AF787" s="468">
        <f>AF788</f>
        <v>1837.9</v>
      </c>
      <c r="AG787" s="478">
        <f t="shared" si="242"/>
        <v>0.96432131801248755</v>
      </c>
    </row>
    <row r="788" spans="24:33" s="3" customFormat="1" ht="31.5" x14ac:dyDescent="0.25">
      <c r="X788" s="347" t="s">
        <v>61</v>
      </c>
      <c r="Y788" s="348" t="s">
        <v>440</v>
      </c>
      <c r="Z788" s="349" t="s">
        <v>8</v>
      </c>
      <c r="AA788" s="350" t="s">
        <v>22</v>
      </c>
      <c r="AB788" s="355" t="s">
        <v>541</v>
      </c>
      <c r="AC788" s="357">
        <v>600</v>
      </c>
      <c r="AD788" s="353">
        <f t="shared" ref="AD788:AF788" si="250">AD789</f>
        <v>1905.9</v>
      </c>
      <c r="AE788" s="353">
        <f t="shared" si="250"/>
        <v>1905.9</v>
      </c>
      <c r="AF788" s="468">
        <f t="shared" si="250"/>
        <v>1837.9</v>
      </c>
      <c r="AG788" s="478">
        <f t="shared" si="242"/>
        <v>0.96432131801248755</v>
      </c>
    </row>
    <row r="789" spans="24:33" s="3" customFormat="1" x14ac:dyDescent="0.25">
      <c r="X789" s="347" t="s">
        <v>62</v>
      </c>
      <c r="Y789" s="348" t="s">
        <v>440</v>
      </c>
      <c r="Z789" s="349" t="s">
        <v>8</v>
      </c>
      <c r="AA789" s="350" t="s">
        <v>22</v>
      </c>
      <c r="AB789" s="355" t="s">
        <v>541</v>
      </c>
      <c r="AC789" s="357">
        <v>610</v>
      </c>
      <c r="AD789" s="353">
        <f>650+1039+118.8+91.9+6.2</f>
        <v>1905.9</v>
      </c>
      <c r="AE789" s="353">
        <f>650+1039+118.8+91.9+6.2</f>
        <v>1905.9</v>
      </c>
      <c r="AF789" s="468">
        <v>1837.9</v>
      </c>
      <c r="AG789" s="478">
        <f t="shared" si="242"/>
        <v>0.96432131801248755</v>
      </c>
    </row>
    <row r="790" spans="24:33" s="3" customFormat="1" ht="31.5" x14ac:dyDescent="0.25">
      <c r="X790" s="347" t="s">
        <v>327</v>
      </c>
      <c r="Y790" s="348" t="s">
        <v>440</v>
      </c>
      <c r="Z790" s="349" t="s">
        <v>8</v>
      </c>
      <c r="AA790" s="350" t="s">
        <v>22</v>
      </c>
      <c r="AB790" s="355" t="s">
        <v>542</v>
      </c>
      <c r="AC790" s="357"/>
      <c r="AD790" s="353">
        <f t="shared" ref="AD790:AF791" si="251">AD791</f>
        <v>1608.1</v>
      </c>
      <c r="AE790" s="353">
        <f t="shared" si="251"/>
        <v>1608.1</v>
      </c>
      <c r="AF790" s="468">
        <f t="shared" si="251"/>
        <v>1608.1</v>
      </c>
      <c r="AG790" s="478">
        <f t="shared" si="242"/>
        <v>1</v>
      </c>
    </row>
    <row r="791" spans="24:33" s="3" customFormat="1" ht="31.5" x14ac:dyDescent="0.25">
      <c r="X791" s="347" t="s">
        <v>61</v>
      </c>
      <c r="Y791" s="348" t="s">
        <v>440</v>
      </c>
      <c r="Z791" s="349" t="s">
        <v>8</v>
      </c>
      <c r="AA791" s="350" t="s">
        <v>22</v>
      </c>
      <c r="AB791" s="355" t="s">
        <v>542</v>
      </c>
      <c r="AC791" s="357">
        <v>600</v>
      </c>
      <c r="AD791" s="353">
        <f t="shared" si="251"/>
        <v>1608.1</v>
      </c>
      <c r="AE791" s="353">
        <f t="shared" si="251"/>
        <v>1608.1</v>
      </c>
      <c r="AF791" s="468">
        <f t="shared" si="251"/>
        <v>1608.1</v>
      </c>
      <c r="AG791" s="478">
        <f t="shared" si="242"/>
        <v>1</v>
      </c>
    </row>
    <row r="792" spans="24:33" s="3" customFormat="1" x14ac:dyDescent="0.25">
      <c r="X792" s="347" t="s">
        <v>62</v>
      </c>
      <c r="Y792" s="348" t="s">
        <v>440</v>
      </c>
      <c r="Z792" s="349" t="s">
        <v>8</v>
      </c>
      <c r="AA792" s="350" t="s">
        <v>22</v>
      </c>
      <c r="AB792" s="355" t="s">
        <v>542</v>
      </c>
      <c r="AC792" s="357">
        <v>610</v>
      </c>
      <c r="AD792" s="353">
        <f>600+1100-91.9</f>
        <v>1608.1</v>
      </c>
      <c r="AE792" s="353">
        <f>600+1100-91.9</f>
        <v>1608.1</v>
      </c>
      <c r="AF792" s="468">
        <v>1608.1</v>
      </c>
      <c r="AG792" s="478">
        <f t="shared" si="242"/>
        <v>1</v>
      </c>
    </row>
    <row r="793" spans="24:33" s="3" customFormat="1" x14ac:dyDescent="0.25">
      <c r="X793" s="340" t="s">
        <v>21</v>
      </c>
      <c r="Y793" s="341" t="s">
        <v>440</v>
      </c>
      <c r="Z793" s="378" t="s">
        <v>16</v>
      </c>
      <c r="AA793" s="400"/>
      <c r="AB793" s="344"/>
      <c r="AC793" s="352"/>
      <c r="AD793" s="346">
        <f t="shared" ref="AD793:AE800" si="252">AD794</f>
        <v>1200</v>
      </c>
      <c r="AE793" s="346">
        <f t="shared" si="252"/>
        <v>1200</v>
      </c>
      <c r="AF793" s="467">
        <f t="shared" ref="AF793:AF795" si="253">AF794</f>
        <v>800</v>
      </c>
      <c r="AG793" s="477">
        <f t="shared" si="242"/>
        <v>0.66666666666666663</v>
      </c>
    </row>
    <row r="794" spans="24:33" s="3" customFormat="1" x14ac:dyDescent="0.25">
      <c r="X794" s="347" t="s">
        <v>65</v>
      </c>
      <c r="Y794" s="348" t="s">
        <v>440</v>
      </c>
      <c r="Z794" s="349" t="s">
        <v>16</v>
      </c>
      <c r="AA794" s="350" t="s">
        <v>29</v>
      </c>
      <c r="AB794" s="351"/>
      <c r="AC794" s="352"/>
      <c r="AD794" s="353">
        <f t="shared" si="252"/>
        <v>1200</v>
      </c>
      <c r="AE794" s="353">
        <f t="shared" si="252"/>
        <v>1200</v>
      </c>
      <c r="AF794" s="468">
        <f t="shared" si="253"/>
        <v>800</v>
      </c>
      <c r="AG794" s="478">
        <f t="shared" si="242"/>
        <v>0.66666666666666663</v>
      </c>
    </row>
    <row r="795" spans="24:33" s="3" customFormat="1" x14ac:dyDescent="0.25">
      <c r="X795" s="356" t="s">
        <v>612</v>
      </c>
      <c r="Y795" s="348" t="s">
        <v>440</v>
      </c>
      <c r="Z795" s="349" t="s">
        <v>16</v>
      </c>
      <c r="AA795" s="350" t="s">
        <v>29</v>
      </c>
      <c r="AB795" s="355" t="s">
        <v>115</v>
      </c>
      <c r="AC795" s="352"/>
      <c r="AD795" s="353">
        <f t="shared" si="252"/>
        <v>1200</v>
      </c>
      <c r="AE795" s="353">
        <f t="shared" si="252"/>
        <v>1200</v>
      </c>
      <c r="AF795" s="468">
        <f t="shared" si="253"/>
        <v>800</v>
      </c>
      <c r="AG795" s="478">
        <f t="shared" si="242"/>
        <v>0.66666666666666663</v>
      </c>
    </row>
    <row r="796" spans="24:33" s="3" customFormat="1" ht="31.5" x14ac:dyDescent="0.25">
      <c r="X796" s="356" t="s">
        <v>525</v>
      </c>
      <c r="Y796" s="348" t="s">
        <v>440</v>
      </c>
      <c r="Z796" s="349" t="s">
        <v>16</v>
      </c>
      <c r="AA796" s="350" t="s">
        <v>29</v>
      </c>
      <c r="AB796" s="355" t="s">
        <v>266</v>
      </c>
      <c r="AC796" s="357"/>
      <c r="AD796" s="353">
        <f t="shared" si="252"/>
        <v>1200</v>
      </c>
      <c r="AE796" s="353">
        <f t="shared" si="252"/>
        <v>1200</v>
      </c>
      <c r="AF796" s="468">
        <f t="shared" ref="AF796:AF800" si="254">AF797</f>
        <v>800</v>
      </c>
      <c r="AG796" s="478">
        <f t="shared" si="242"/>
        <v>0.66666666666666663</v>
      </c>
    </row>
    <row r="797" spans="24:33" s="3" customFormat="1" x14ac:dyDescent="0.25">
      <c r="X797" s="356" t="s">
        <v>370</v>
      </c>
      <c r="Y797" s="348" t="s">
        <v>440</v>
      </c>
      <c r="Z797" s="349" t="s">
        <v>16</v>
      </c>
      <c r="AA797" s="350" t="s">
        <v>29</v>
      </c>
      <c r="AB797" s="355" t="s">
        <v>526</v>
      </c>
      <c r="AC797" s="357"/>
      <c r="AD797" s="353">
        <f t="shared" si="252"/>
        <v>1200</v>
      </c>
      <c r="AE797" s="353">
        <f t="shared" si="252"/>
        <v>1200</v>
      </c>
      <c r="AF797" s="468">
        <f t="shared" si="254"/>
        <v>800</v>
      </c>
      <c r="AG797" s="478">
        <f t="shared" si="242"/>
        <v>0.66666666666666663</v>
      </c>
    </row>
    <row r="798" spans="24:33" s="3" customFormat="1" x14ac:dyDescent="0.25">
      <c r="X798" s="358" t="s">
        <v>267</v>
      </c>
      <c r="Y798" s="348" t="s">
        <v>440</v>
      </c>
      <c r="Z798" s="349" t="s">
        <v>16</v>
      </c>
      <c r="AA798" s="350" t="s">
        <v>29</v>
      </c>
      <c r="AB798" s="355" t="s">
        <v>594</v>
      </c>
      <c r="AC798" s="357"/>
      <c r="AD798" s="353">
        <f t="shared" si="252"/>
        <v>1200</v>
      </c>
      <c r="AE798" s="353">
        <f t="shared" si="252"/>
        <v>1200</v>
      </c>
      <c r="AF798" s="468">
        <f t="shared" si="254"/>
        <v>800</v>
      </c>
      <c r="AG798" s="478">
        <f t="shared" si="242"/>
        <v>0.66666666666666663</v>
      </c>
    </row>
    <row r="799" spans="24:33" s="3" customFormat="1" ht="31.5" x14ac:dyDescent="0.25">
      <c r="X799" s="347" t="s">
        <v>268</v>
      </c>
      <c r="Y799" s="348" t="s">
        <v>440</v>
      </c>
      <c r="Z799" s="349" t="s">
        <v>16</v>
      </c>
      <c r="AA799" s="350" t="s">
        <v>29</v>
      </c>
      <c r="AB799" s="355" t="s">
        <v>595</v>
      </c>
      <c r="AC799" s="357"/>
      <c r="AD799" s="353">
        <f t="shared" si="252"/>
        <v>1200</v>
      </c>
      <c r="AE799" s="353">
        <f t="shared" si="252"/>
        <v>1200</v>
      </c>
      <c r="AF799" s="468">
        <f t="shared" si="254"/>
        <v>800</v>
      </c>
      <c r="AG799" s="478">
        <f t="shared" si="242"/>
        <v>0.66666666666666663</v>
      </c>
    </row>
    <row r="800" spans="24:33" s="3" customFormat="1" ht="31.5" x14ac:dyDescent="0.25">
      <c r="X800" s="347" t="s">
        <v>61</v>
      </c>
      <c r="Y800" s="348" t="s">
        <v>440</v>
      </c>
      <c r="Z800" s="349" t="s">
        <v>16</v>
      </c>
      <c r="AA800" s="350" t="s">
        <v>29</v>
      </c>
      <c r="AB800" s="355" t="s">
        <v>595</v>
      </c>
      <c r="AC800" s="357">
        <v>600</v>
      </c>
      <c r="AD800" s="353">
        <f t="shared" si="252"/>
        <v>1200</v>
      </c>
      <c r="AE800" s="353">
        <f t="shared" si="252"/>
        <v>1200</v>
      </c>
      <c r="AF800" s="468">
        <f t="shared" si="254"/>
        <v>800</v>
      </c>
      <c r="AG800" s="478">
        <f t="shared" si="242"/>
        <v>0.66666666666666663</v>
      </c>
    </row>
    <row r="801" spans="24:33" s="3" customFormat="1" x14ac:dyDescent="0.25">
      <c r="X801" s="347" t="s">
        <v>62</v>
      </c>
      <c r="Y801" s="348" t="s">
        <v>440</v>
      </c>
      <c r="Z801" s="349" t="s">
        <v>16</v>
      </c>
      <c r="AA801" s="350" t="s">
        <v>29</v>
      </c>
      <c r="AB801" s="355" t="s">
        <v>595</v>
      </c>
      <c r="AC801" s="357">
        <v>610</v>
      </c>
      <c r="AD801" s="353">
        <v>1200</v>
      </c>
      <c r="AE801" s="353">
        <v>1200</v>
      </c>
      <c r="AF801" s="468">
        <v>800</v>
      </c>
      <c r="AG801" s="478">
        <f t="shared" si="242"/>
        <v>0.66666666666666663</v>
      </c>
    </row>
    <row r="802" spans="24:33" s="3" customFormat="1" x14ac:dyDescent="0.25">
      <c r="X802" s="340" t="s">
        <v>95</v>
      </c>
      <c r="Y802" s="341" t="s">
        <v>440</v>
      </c>
      <c r="Z802" s="378" t="s">
        <v>36</v>
      </c>
      <c r="AA802" s="400"/>
      <c r="AB802" s="344"/>
      <c r="AC802" s="345"/>
      <c r="AD802" s="346">
        <f>AD803+AD810</f>
        <v>17264.8</v>
      </c>
      <c r="AE802" s="346">
        <f>AE803+AE810</f>
        <v>17264.900000000001</v>
      </c>
      <c r="AF802" s="467">
        <f>AF803+AF810</f>
        <v>14854.1</v>
      </c>
      <c r="AG802" s="477">
        <f t="shared" si="242"/>
        <v>0.86036409130663938</v>
      </c>
    </row>
    <row r="803" spans="24:33" s="3" customFormat="1" x14ac:dyDescent="0.25">
      <c r="X803" s="347" t="s">
        <v>56</v>
      </c>
      <c r="Y803" s="348" t="s">
        <v>440</v>
      </c>
      <c r="Z803" s="349">
        <v>10</v>
      </c>
      <c r="AA803" s="350" t="s">
        <v>29</v>
      </c>
      <c r="AB803" s="351"/>
      <c r="AC803" s="393"/>
      <c r="AD803" s="353">
        <f t="shared" ref="AD803:AF808" si="255">AD804</f>
        <v>905.80000000000007</v>
      </c>
      <c r="AE803" s="353">
        <f t="shared" si="255"/>
        <v>905.90000000000009</v>
      </c>
      <c r="AF803" s="468">
        <f t="shared" si="255"/>
        <v>905.9</v>
      </c>
      <c r="AG803" s="478">
        <f t="shared" si="242"/>
        <v>0.99999999999999989</v>
      </c>
    </row>
    <row r="804" spans="24:33" s="3" customFormat="1" x14ac:dyDescent="0.25">
      <c r="X804" s="354" t="s">
        <v>300</v>
      </c>
      <c r="Y804" s="348" t="s">
        <v>440</v>
      </c>
      <c r="Z804" s="349">
        <v>10</v>
      </c>
      <c r="AA804" s="350" t="s">
        <v>29</v>
      </c>
      <c r="AB804" s="355" t="s">
        <v>110</v>
      </c>
      <c r="AC804" s="393"/>
      <c r="AD804" s="353">
        <f t="shared" si="255"/>
        <v>905.80000000000007</v>
      </c>
      <c r="AE804" s="353">
        <f t="shared" si="255"/>
        <v>905.90000000000009</v>
      </c>
      <c r="AF804" s="468">
        <f t="shared" si="255"/>
        <v>905.9</v>
      </c>
      <c r="AG804" s="478">
        <f t="shared" si="242"/>
        <v>0.99999999999999989</v>
      </c>
    </row>
    <row r="805" spans="24:33" s="3" customFormat="1" x14ac:dyDescent="0.25">
      <c r="X805" s="354" t="s">
        <v>301</v>
      </c>
      <c r="Y805" s="348" t="s">
        <v>440</v>
      </c>
      <c r="Z805" s="349">
        <v>10</v>
      </c>
      <c r="AA805" s="350" t="s">
        <v>29</v>
      </c>
      <c r="AB805" s="355" t="s">
        <v>119</v>
      </c>
      <c r="AC805" s="393"/>
      <c r="AD805" s="353">
        <f t="shared" si="255"/>
        <v>905.80000000000007</v>
      </c>
      <c r="AE805" s="353">
        <f t="shared" si="255"/>
        <v>905.90000000000009</v>
      </c>
      <c r="AF805" s="468">
        <f t="shared" si="255"/>
        <v>905.9</v>
      </c>
      <c r="AG805" s="478">
        <f t="shared" si="242"/>
        <v>0.99999999999999989</v>
      </c>
    </row>
    <row r="806" spans="24:33" s="3" customFormat="1" ht="31.5" x14ac:dyDescent="0.25">
      <c r="X806" s="354" t="s">
        <v>302</v>
      </c>
      <c r="Y806" s="348" t="s">
        <v>440</v>
      </c>
      <c r="Z806" s="349">
        <v>10</v>
      </c>
      <c r="AA806" s="350" t="s">
        <v>29</v>
      </c>
      <c r="AB806" s="355" t="s">
        <v>497</v>
      </c>
      <c r="AC806" s="393"/>
      <c r="AD806" s="353">
        <f t="shared" si="255"/>
        <v>905.80000000000007</v>
      </c>
      <c r="AE806" s="353">
        <f t="shared" si="255"/>
        <v>905.90000000000009</v>
      </c>
      <c r="AF806" s="468">
        <f t="shared" si="255"/>
        <v>905.9</v>
      </c>
      <c r="AG806" s="478">
        <f t="shared" si="242"/>
        <v>0.99999999999999989</v>
      </c>
    </row>
    <row r="807" spans="24:33" s="3" customFormat="1" ht="31.5" x14ac:dyDescent="0.25">
      <c r="X807" s="368" t="s">
        <v>303</v>
      </c>
      <c r="Y807" s="348" t="s">
        <v>440</v>
      </c>
      <c r="Z807" s="349">
        <v>10</v>
      </c>
      <c r="AA807" s="350" t="s">
        <v>29</v>
      </c>
      <c r="AB807" s="355" t="s">
        <v>496</v>
      </c>
      <c r="AC807" s="393"/>
      <c r="AD807" s="353">
        <f t="shared" si="255"/>
        <v>905.80000000000007</v>
      </c>
      <c r="AE807" s="353">
        <f t="shared" si="255"/>
        <v>905.90000000000009</v>
      </c>
      <c r="AF807" s="468">
        <f t="shared" si="255"/>
        <v>905.9</v>
      </c>
      <c r="AG807" s="478">
        <f t="shared" ref="AG807:AG870" si="256">AF807/AE807</f>
        <v>0.99999999999999989</v>
      </c>
    </row>
    <row r="808" spans="24:33" s="3" customFormat="1" x14ac:dyDescent="0.25">
      <c r="X808" s="347" t="s">
        <v>98</v>
      </c>
      <c r="Y808" s="348" t="s">
        <v>440</v>
      </c>
      <c r="Z808" s="349">
        <v>10</v>
      </c>
      <c r="AA808" s="350" t="s">
        <v>29</v>
      </c>
      <c r="AB808" s="355" t="s">
        <v>496</v>
      </c>
      <c r="AC808" s="357">
        <v>300</v>
      </c>
      <c r="AD808" s="353">
        <f t="shared" si="255"/>
        <v>905.80000000000007</v>
      </c>
      <c r="AE808" s="353">
        <f t="shared" si="255"/>
        <v>905.90000000000009</v>
      </c>
      <c r="AF808" s="468">
        <f t="shared" si="255"/>
        <v>905.9</v>
      </c>
      <c r="AG808" s="478">
        <f t="shared" si="256"/>
        <v>0.99999999999999989</v>
      </c>
    </row>
    <row r="809" spans="24:33" s="3" customFormat="1" x14ac:dyDescent="0.25">
      <c r="X809" s="347" t="s">
        <v>40</v>
      </c>
      <c r="Y809" s="348" t="s">
        <v>440</v>
      </c>
      <c r="Z809" s="349">
        <v>10</v>
      </c>
      <c r="AA809" s="350" t="s">
        <v>29</v>
      </c>
      <c r="AB809" s="355" t="s">
        <v>496</v>
      </c>
      <c r="AC809" s="357">
        <v>320</v>
      </c>
      <c r="AD809" s="353">
        <f>848.2+57.6</f>
        <v>905.80000000000007</v>
      </c>
      <c r="AE809" s="353">
        <f>848.2+57.6+0.1</f>
        <v>905.90000000000009</v>
      </c>
      <c r="AF809" s="468">
        <f>905.8+0.1</f>
        <v>905.9</v>
      </c>
      <c r="AG809" s="478">
        <f t="shared" si="256"/>
        <v>0.99999999999999989</v>
      </c>
    </row>
    <row r="810" spans="24:33" s="3" customFormat="1" x14ac:dyDescent="0.25">
      <c r="X810" s="347" t="s">
        <v>31</v>
      </c>
      <c r="Y810" s="348" t="s">
        <v>440</v>
      </c>
      <c r="Z810" s="349">
        <v>10</v>
      </c>
      <c r="AA810" s="350" t="s">
        <v>48</v>
      </c>
      <c r="AB810" s="355"/>
      <c r="AC810" s="357"/>
      <c r="AD810" s="353">
        <f>AD811</f>
        <v>16359</v>
      </c>
      <c r="AE810" s="353">
        <f>AE811</f>
        <v>16359</v>
      </c>
      <c r="AF810" s="468">
        <f>AF811</f>
        <v>13948.2</v>
      </c>
      <c r="AG810" s="478">
        <f t="shared" si="256"/>
        <v>0.85263157894736852</v>
      </c>
    </row>
    <row r="811" spans="24:33" s="3" customFormat="1" x14ac:dyDescent="0.25">
      <c r="X811" s="356" t="s">
        <v>270</v>
      </c>
      <c r="Y811" s="348" t="s">
        <v>440</v>
      </c>
      <c r="Z811" s="349">
        <v>10</v>
      </c>
      <c r="AA811" s="350" t="s">
        <v>48</v>
      </c>
      <c r="AB811" s="351" t="s">
        <v>101</v>
      </c>
      <c r="AC811" s="357"/>
      <c r="AD811" s="353">
        <f t="shared" ref="AD811:AF813" si="257">AD812</f>
        <v>16359</v>
      </c>
      <c r="AE811" s="353">
        <f t="shared" si="257"/>
        <v>16359</v>
      </c>
      <c r="AF811" s="468">
        <f t="shared" si="257"/>
        <v>13948.2</v>
      </c>
      <c r="AG811" s="478">
        <f t="shared" si="256"/>
        <v>0.85263157894736852</v>
      </c>
    </row>
    <row r="812" spans="24:33" s="3" customFormat="1" x14ac:dyDescent="0.25">
      <c r="X812" s="356" t="s">
        <v>554</v>
      </c>
      <c r="Y812" s="348" t="s">
        <v>440</v>
      </c>
      <c r="Z812" s="349">
        <v>10</v>
      </c>
      <c r="AA812" s="350" t="s">
        <v>48</v>
      </c>
      <c r="AB812" s="351" t="s">
        <v>118</v>
      </c>
      <c r="AC812" s="357"/>
      <c r="AD812" s="353">
        <f>AD813</f>
        <v>16359</v>
      </c>
      <c r="AE812" s="353">
        <f>AE813</f>
        <v>16359</v>
      </c>
      <c r="AF812" s="468">
        <f>AF813</f>
        <v>13948.2</v>
      </c>
      <c r="AG812" s="478">
        <f t="shared" si="256"/>
        <v>0.85263157894736852</v>
      </c>
    </row>
    <row r="813" spans="24:33" s="3" customFormat="1" ht="31.5" x14ac:dyDescent="0.25">
      <c r="X813" s="356" t="s">
        <v>274</v>
      </c>
      <c r="Y813" s="348" t="s">
        <v>440</v>
      </c>
      <c r="Z813" s="349">
        <v>10</v>
      </c>
      <c r="AA813" s="350" t="s">
        <v>48</v>
      </c>
      <c r="AB813" s="355" t="s">
        <v>478</v>
      </c>
      <c r="AC813" s="357"/>
      <c r="AD813" s="353">
        <f t="shared" si="257"/>
        <v>16359</v>
      </c>
      <c r="AE813" s="353">
        <f t="shared" si="257"/>
        <v>16359</v>
      </c>
      <c r="AF813" s="468">
        <f t="shared" si="257"/>
        <v>13948.2</v>
      </c>
      <c r="AG813" s="478">
        <f t="shared" si="256"/>
        <v>0.85263157894736852</v>
      </c>
    </row>
    <row r="814" spans="24:33" s="3" customFormat="1" ht="47.25" x14ac:dyDescent="0.25">
      <c r="X814" s="365" t="s">
        <v>271</v>
      </c>
      <c r="Y814" s="348" t="s">
        <v>440</v>
      </c>
      <c r="Z814" s="349">
        <v>10</v>
      </c>
      <c r="AA814" s="350" t="s">
        <v>48</v>
      </c>
      <c r="AB814" s="355" t="s">
        <v>499</v>
      </c>
      <c r="AC814" s="357"/>
      <c r="AD814" s="353">
        <f>AD817+AD815+AD819</f>
        <v>16359</v>
      </c>
      <c r="AE814" s="353">
        <f>AE817+AE815+AE819</f>
        <v>16359</v>
      </c>
      <c r="AF814" s="468">
        <f>AF817+AF815+AF819</f>
        <v>13948.2</v>
      </c>
      <c r="AG814" s="478">
        <f t="shared" si="256"/>
        <v>0.85263157894736852</v>
      </c>
    </row>
    <row r="815" spans="24:33" s="3" customFormat="1" x14ac:dyDescent="0.25">
      <c r="X815" s="347" t="s">
        <v>121</v>
      </c>
      <c r="Y815" s="348" t="s">
        <v>440</v>
      </c>
      <c r="Z815" s="349">
        <v>10</v>
      </c>
      <c r="AA815" s="350" t="s">
        <v>48</v>
      </c>
      <c r="AB815" s="355" t="s">
        <v>499</v>
      </c>
      <c r="AC815" s="357">
        <v>200</v>
      </c>
      <c r="AD815" s="353">
        <f>AD816</f>
        <v>154</v>
      </c>
      <c r="AE815" s="353">
        <f>AE816</f>
        <v>154</v>
      </c>
      <c r="AF815" s="468">
        <f>AF816</f>
        <v>60.1</v>
      </c>
      <c r="AG815" s="478">
        <f t="shared" si="256"/>
        <v>0.39025974025974025</v>
      </c>
    </row>
    <row r="816" spans="24:33" s="3" customFormat="1" ht="31.5" x14ac:dyDescent="0.25">
      <c r="X816" s="347" t="s">
        <v>52</v>
      </c>
      <c r="Y816" s="348" t="s">
        <v>440</v>
      </c>
      <c r="Z816" s="349">
        <v>10</v>
      </c>
      <c r="AA816" s="350" t="s">
        <v>48</v>
      </c>
      <c r="AB816" s="355" t="s">
        <v>499</v>
      </c>
      <c r="AC816" s="357">
        <v>240</v>
      </c>
      <c r="AD816" s="353">
        <f>163-9</f>
        <v>154</v>
      </c>
      <c r="AE816" s="353">
        <f>163-9</f>
        <v>154</v>
      </c>
      <c r="AF816" s="468">
        <v>60.1</v>
      </c>
      <c r="AG816" s="478">
        <f t="shared" si="256"/>
        <v>0.39025974025974025</v>
      </c>
    </row>
    <row r="817" spans="24:33" s="3" customFormat="1" x14ac:dyDescent="0.25">
      <c r="X817" s="347" t="s">
        <v>98</v>
      </c>
      <c r="Y817" s="348" t="s">
        <v>440</v>
      </c>
      <c r="Z817" s="349">
        <v>10</v>
      </c>
      <c r="AA817" s="350" t="s">
        <v>48</v>
      </c>
      <c r="AB817" s="355" t="s">
        <v>499</v>
      </c>
      <c r="AC817" s="357">
        <v>300</v>
      </c>
      <c r="AD817" s="353">
        <f>AD818</f>
        <v>15389</v>
      </c>
      <c r="AE817" s="353">
        <f>AE818</f>
        <v>15389</v>
      </c>
      <c r="AF817" s="468">
        <f>AF818</f>
        <v>13072.1</v>
      </c>
      <c r="AG817" s="478">
        <f t="shared" si="256"/>
        <v>0.84944440834362211</v>
      </c>
    </row>
    <row r="818" spans="24:33" s="3" customFormat="1" x14ac:dyDescent="0.25">
      <c r="X818" s="347" t="s">
        <v>131</v>
      </c>
      <c r="Y818" s="348" t="s">
        <v>440</v>
      </c>
      <c r="Z818" s="349">
        <v>10</v>
      </c>
      <c r="AA818" s="350" t="s">
        <v>48</v>
      </c>
      <c r="AB818" s="355" t="s">
        <v>499</v>
      </c>
      <c r="AC818" s="357">
        <v>310</v>
      </c>
      <c r="AD818" s="353">
        <f>16291-902</f>
        <v>15389</v>
      </c>
      <c r="AE818" s="353">
        <f>16291-902</f>
        <v>15389</v>
      </c>
      <c r="AF818" s="468">
        <v>13072.1</v>
      </c>
      <c r="AG818" s="478">
        <f t="shared" si="256"/>
        <v>0.84944440834362211</v>
      </c>
    </row>
    <row r="819" spans="24:33" s="3" customFormat="1" ht="31.5" x14ac:dyDescent="0.25">
      <c r="X819" s="347" t="s">
        <v>61</v>
      </c>
      <c r="Y819" s="348" t="s">
        <v>440</v>
      </c>
      <c r="Z819" s="349">
        <v>10</v>
      </c>
      <c r="AA819" s="350" t="s">
        <v>48</v>
      </c>
      <c r="AB819" s="355" t="s">
        <v>499</v>
      </c>
      <c r="AC819" s="357">
        <v>600</v>
      </c>
      <c r="AD819" s="353">
        <f>AD820</f>
        <v>816</v>
      </c>
      <c r="AE819" s="353">
        <f>AE820</f>
        <v>816</v>
      </c>
      <c r="AF819" s="468">
        <f>AF820</f>
        <v>816</v>
      </c>
      <c r="AG819" s="478">
        <f t="shared" si="256"/>
        <v>1</v>
      </c>
    </row>
    <row r="820" spans="24:33" s="3" customFormat="1" x14ac:dyDescent="0.25">
      <c r="X820" s="347" t="s">
        <v>62</v>
      </c>
      <c r="Y820" s="348" t="s">
        <v>440</v>
      </c>
      <c r="Z820" s="349">
        <v>10</v>
      </c>
      <c r="AA820" s="350" t="s">
        <v>48</v>
      </c>
      <c r="AB820" s="355" t="s">
        <v>499</v>
      </c>
      <c r="AC820" s="357">
        <v>610</v>
      </c>
      <c r="AD820" s="353">
        <f>845-29</f>
        <v>816</v>
      </c>
      <c r="AE820" s="353">
        <f>845-29</f>
        <v>816</v>
      </c>
      <c r="AF820" s="468">
        <v>816</v>
      </c>
      <c r="AG820" s="478">
        <f t="shared" si="256"/>
        <v>1</v>
      </c>
    </row>
    <row r="821" spans="24:33" s="3" customFormat="1" ht="32.25" x14ac:dyDescent="0.3">
      <c r="X821" s="340" t="s">
        <v>441</v>
      </c>
      <c r="Y821" s="341" t="s">
        <v>442</v>
      </c>
      <c r="Z821" s="430"/>
      <c r="AA821" s="418"/>
      <c r="AB821" s="383"/>
      <c r="AC821" s="384"/>
      <c r="AD821" s="346">
        <f>AD838+AD871+AD1006+AD997+AD822</f>
        <v>2787567</v>
      </c>
      <c r="AE821" s="346">
        <f>AE838+AE871+AE1006+AE997+AE822</f>
        <v>2782775.6999999997</v>
      </c>
      <c r="AF821" s="467">
        <f>AF838+AF871+AF1006+AF997+AF822</f>
        <v>2726051.6</v>
      </c>
      <c r="AG821" s="477">
        <f t="shared" si="256"/>
        <v>0.97961599995285298</v>
      </c>
    </row>
    <row r="822" spans="24:33" s="3" customFormat="1" ht="18.75" x14ac:dyDescent="0.3">
      <c r="X822" s="340" t="s">
        <v>25</v>
      </c>
      <c r="Y822" s="348" t="s">
        <v>442</v>
      </c>
      <c r="Z822" s="342" t="s">
        <v>29</v>
      </c>
      <c r="AA822" s="418"/>
      <c r="AB822" s="383"/>
      <c r="AC822" s="384"/>
      <c r="AD822" s="346">
        <f>AD823</f>
        <v>1779.9</v>
      </c>
      <c r="AE822" s="346">
        <f t="shared" ref="AE822:AF822" si="258">AE823</f>
        <v>1779.9</v>
      </c>
      <c r="AF822" s="346">
        <f t="shared" si="258"/>
        <v>1769.9</v>
      </c>
      <c r="AG822" s="477">
        <f t="shared" si="256"/>
        <v>0.99438170683746274</v>
      </c>
    </row>
    <row r="823" spans="24:33" s="3" customFormat="1" ht="18.75" x14ac:dyDescent="0.3">
      <c r="X823" s="358" t="s">
        <v>14</v>
      </c>
      <c r="Y823" s="348" t="s">
        <v>442</v>
      </c>
      <c r="Z823" s="349" t="s">
        <v>29</v>
      </c>
      <c r="AA823" s="350">
        <v>13</v>
      </c>
      <c r="AB823" s="383"/>
      <c r="AC823" s="384"/>
      <c r="AD823" s="353">
        <f>AD830+AD824</f>
        <v>1779.9</v>
      </c>
      <c r="AE823" s="353">
        <f t="shared" ref="AE823:AF823" si="259">AE830+AE824</f>
        <v>1779.9</v>
      </c>
      <c r="AF823" s="353">
        <f t="shared" si="259"/>
        <v>1769.9</v>
      </c>
      <c r="AG823" s="478">
        <f t="shared" si="256"/>
        <v>0.99438170683746274</v>
      </c>
    </row>
    <row r="824" spans="24:33" s="3" customFormat="1" ht="18.75" x14ac:dyDescent="0.3">
      <c r="X824" s="354" t="s">
        <v>187</v>
      </c>
      <c r="Y824" s="348" t="s">
        <v>442</v>
      </c>
      <c r="Z824" s="349" t="s">
        <v>29</v>
      </c>
      <c r="AA824" s="350">
        <v>13</v>
      </c>
      <c r="AB824" s="355" t="s">
        <v>113</v>
      </c>
      <c r="AC824" s="384"/>
      <c r="AD824" s="353">
        <f t="shared" ref="AD824:AF828" si="260">AD825</f>
        <v>700</v>
      </c>
      <c r="AE824" s="353">
        <f t="shared" si="260"/>
        <v>700</v>
      </c>
      <c r="AF824" s="468">
        <f t="shared" si="260"/>
        <v>690</v>
      </c>
      <c r="AG824" s="478">
        <f t="shared" si="256"/>
        <v>0.98571428571428577</v>
      </c>
    </row>
    <row r="825" spans="24:33" s="3" customFormat="1" ht="18.75" x14ac:dyDescent="0.3">
      <c r="X825" s="369" t="s">
        <v>568</v>
      </c>
      <c r="Y825" s="348" t="s">
        <v>442</v>
      </c>
      <c r="Z825" s="349" t="s">
        <v>29</v>
      </c>
      <c r="AA825" s="350">
        <v>13</v>
      </c>
      <c r="AB825" s="355" t="s">
        <v>114</v>
      </c>
      <c r="AC825" s="384"/>
      <c r="AD825" s="353">
        <f t="shared" si="260"/>
        <v>700</v>
      </c>
      <c r="AE825" s="353">
        <f t="shared" si="260"/>
        <v>700</v>
      </c>
      <c r="AF825" s="468">
        <f t="shared" si="260"/>
        <v>690</v>
      </c>
      <c r="AG825" s="478">
        <f t="shared" si="256"/>
        <v>0.98571428571428577</v>
      </c>
    </row>
    <row r="826" spans="24:33" s="3" customFormat="1" ht="32.25" x14ac:dyDescent="0.3">
      <c r="X826" s="368" t="s">
        <v>183</v>
      </c>
      <c r="Y826" s="348" t="s">
        <v>442</v>
      </c>
      <c r="Z826" s="349" t="s">
        <v>29</v>
      </c>
      <c r="AA826" s="350">
        <v>13</v>
      </c>
      <c r="AB826" s="355" t="s">
        <v>184</v>
      </c>
      <c r="AC826" s="384"/>
      <c r="AD826" s="353">
        <f t="shared" si="260"/>
        <v>700</v>
      </c>
      <c r="AE826" s="353">
        <f t="shared" si="260"/>
        <v>700</v>
      </c>
      <c r="AF826" s="468">
        <f t="shared" si="260"/>
        <v>690</v>
      </c>
      <c r="AG826" s="478">
        <f t="shared" si="256"/>
        <v>0.98571428571428577</v>
      </c>
    </row>
    <row r="827" spans="24:33" s="3" customFormat="1" ht="32.25" x14ac:dyDescent="0.3">
      <c r="X827" s="368" t="s">
        <v>185</v>
      </c>
      <c r="Y827" s="348" t="s">
        <v>442</v>
      </c>
      <c r="Z827" s="349" t="s">
        <v>29</v>
      </c>
      <c r="AA827" s="350">
        <v>13</v>
      </c>
      <c r="AB827" s="355" t="s">
        <v>186</v>
      </c>
      <c r="AC827" s="384"/>
      <c r="AD827" s="353">
        <f t="shared" si="260"/>
        <v>700</v>
      </c>
      <c r="AE827" s="353">
        <f t="shared" si="260"/>
        <v>700</v>
      </c>
      <c r="AF827" s="468">
        <f t="shared" si="260"/>
        <v>690</v>
      </c>
      <c r="AG827" s="478">
        <f t="shared" si="256"/>
        <v>0.98571428571428577</v>
      </c>
    </row>
    <row r="828" spans="24:33" s="3" customFormat="1" x14ac:dyDescent="0.25">
      <c r="X828" s="347" t="s">
        <v>121</v>
      </c>
      <c r="Y828" s="348" t="s">
        <v>442</v>
      </c>
      <c r="Z828" s="349" t="s">
        <v>29</v>
      </c>
      <c r="AA828" s="350">
        <v>13</v>
      </c>
      <c r="AB828" s="355" t="s">
        <v>186</v>
      </c>
      <c r="AC828" s="352">
        <v>200</v>
      </c>
      <c r="AD828" s="353">
        <f t="shared" si="260"/>
        <v>700</v>
      </c>
      <c r="AE828" s="353">
        <f t="shared" si="260"/>
        <v>700</v>
      </c>
      <c r="AF828" s="468">
        <f t="shared" si="260"/>
        <v>690</v>
      </c>
      <c r="AG828" s="478">
        <f t="shared" si="256"/>
        <v>0.98571428571428577</v>
      </c>
    </row>
    <row r="829" spans="24:33" s="3" customFormat="1" ht="17.45" customHeight="1" x14ac:dyDescent="0.25">
      <c r="X829" s="347" t="s">
        <v>52</v>
      </c>
      <c r="Y829" s="348" t="s">
        <v>442</v>
      </c>
      <c r="Z829" s="349" t="s">
        <v>29</v>
      </c>
      <c r="AA829" s="350">
        <v>13</v>
      </c>
      <c r="AB829" s="355" t="s">
        <v>186</v>
      </c>
      <c r="AC829" s="352">
        <v>240</v>
      </c>
      <c r="AD829" s="353">
        <f>500+200</f>
        <v>700</v>
      </c>
      <c r="AE829" s="353">
        <f>500+200</f>
        <v>700</v>
      </c>
      <c r="AF829" s="468">
        <v>690</v>
      </c>
      <c r="AG829" s="478">
        <f t="shared" si="256"/>
        <v>0.98571428571428577</v>
      </c>
    </row>
    <row r="830" spans="24:33" s="3" customFormat="1" x14ac:dyDescent="0.25">
      <c r="X830" s="354" t="s">
        <v>227</v>
      </c>
      <c r="Y830" s="348" t="s">
        <v>442</v>
      </c>
      <c r="Z830" s="349" t="s">
        <v>29</v>
      </c>
      <c r="AA830" s="350">
        <v>13</v>
      </c>
      <c r="AB830" s="355" t="s">
        <v>138</v>
      </c>
      <c r="AC830" s="372"/>
      <c r="AD830" s="353">
        <f>AD831+AD834</f>
        <v>1079.9000000000001</v>
      </c>
      <c r="AE830" s="353">
        <f t="shared" ref="AE830:AF830" si="261">AE831+AE834</f>
        <v>1079.9000000000001</v>
      </c>
      <c r="AF830" s="353">
        <f t="shared" si="261"/>
        <v>1079.9000000000001</v>
      </c>
      <c r="AG830" s="478">
        <f t="shared" si="256"/>
        <v>1</v>
      </c>
    </row>
    <row r="831" spans="24:33" s="3" customFormat="1" x14ac:dyDescent="0.25">
      <c r="X831" s="368" t="s">
        <v>228</v>
      </c>
      <c r="Y831" s="348" t="s">
        <v>442</v>
      </c>
      <c r="Z831" s="375" t="s">
        <v>29</v>
      </c>
      <c r="AA831" s="376">
        <v>13</v>
      </c>
      <c r="AB831" s="355" t="s">
        <v>229</v>
      </c>
      <c r="AC831" s="370"/>
      <c r="AD831" s="353">
        <f t="shared" ref="AD831:AF832" si="262">AD832</f>
        <v>432.5</v>
      </c>
      <c r="AE831" s="353">
        <f t="shared" si="262"/>
        <v>432.5</v>
      </c>
      <c r="AF831" s="468">
        <f t="shared" si="262"/>
        <v>432.5</v>
      </c>
      <c r="AG831" s="478">
        <f t="shared" si="256"/>
        <v>1</v>
      </c>
    </row>
    <row r="832" spans="24:33" s="3" customFormat="1" x14ac:dyDescent="0.25">
      <c r="X832" s="358" t="s">
        <v>42</v>
      </c>
      <c r="Y832" s="348" t="s">
        <v>442</v>
      </c>
      <c r="Z832" s="375" t="s">
        <v>29</v>
      </c>
      <c r="AA832" s="376">
        <v>13</v>
      </c>
      <c r="AB832" s="355" t="s">
        <v>229</v>
      </c>
      <c r="AC832" s="370">
        <v>800</v>
      </c>
      <c r="AD832" s="353">
        <f t="shared" si="262"/>
        <v>432.5</v>
      </c>
      <c r="AE832" s="353">
        <f t="shared" si="262"/>
        <v>432.5</v>
      </c>
      <c r="AF832" s="468">
        <f t="shared" si="262"/>
        <v>432.5</v>
      </c>
      <c r="AG832" s="478">
        <f t="shared" si="256"/>
        <v>1</v>
      </c>
    </row>
    <row r="833" spans="24:33" s="3" customFormat="1" x14ac:dyDescent="0.25">
      <c r="X833" s="358" t="s">
        <v>133</v>
      </c>
      <c r="Y833" s="348" t="s">
        <v>442</v>
      </c>
      <c r="Z833" s="375" t="s">
        <v>29</v>
      </c>
      <c r="AA833" s="376">
        <v>13</v>
      </c>
      <c r="AB833" s="355" t="s">
        <v>229</v>
      </c>
      <c r="AC833" s="370">
        <v>830</v>
      </c>
      <c r="AD833" s="353">
        <v>432.5</v>
      </c>
      <c r="AE833" s="353">
        <v>432.5</v>
      </c>
      <c r="AF833" s="468">
        <v>432.5</v>
      </c>
      <c r="AG833" s="478">
        <f t="shared" si="256"/>
        <v>1</v>
      </c>
    </row>
    <row r="834" spans="24:33" s="3" customFormat="1" x14ac:dyDescent="0.25">
      <c r="X834" s="347" t="s">
        <v>453</v>
      </c>
      <c r="Y834" s="348" t="s">
        <v>442</v>
      </c>
      <c r="Z834" s="375" t="s">
        <v>29</v>
      </c>
      <c r="AA834" s="376">
        <v>13</v>
      </c>
      <c r="AB834" s="377" t="s">
        <v>454</v>
      </c>
      <c r="AC834" s="370"/>
      <c r="AD834" s="353">
        <f>AD835</f>
        <v>647.4</v>
      </c>
      <c r="AE834" s="353">
        <f>AE835</f>
        <v>647.4</v>
      </c>
      <c r="AF834" s="468">
        <f>AF835</f>
        <v>647.4</v>
      </c>
      <c r="AG834" s="478">
        <f t="shared" si="256"/>
        <v>1</v>
      </c>
    </row>
    <row r="835" spans="24:33" s="3" customFormat="1" ht="47.25" x14ac:dyDescent="0.25">
      <c r="X835" s="347" t="s">
        <v>753</v>
      </c>
      <c r="Y835" s="348" t="s">
        <v>442</v>
      </c>
      <c r="Z835" s="375" t="s">
        <v>29</v>
      </c>
      <c r="AA835" s="376">
        <v>13</v>
      </c>
      <c r="AB835" s="377" t="s">
        <v>459</v>
      </c>
      <c r="AC835" s="370"/>
      <c r="AD835" s="353">
        <f>AD836</f>
        <v>647.4</v>
      </c>
      <c r="AE835" s="353">
        <f>AE836</f>
        <v>647.4</v>
      </c>
      <c r="AF835" s="468">
        <f t="shared" ref="AF835:AF836" si="263">AF836</f>
        <v>647.4</v>
      </c>
      <c r="AG835" s="478">
        <f t="shared" si="256"/>
        <v>1</v>
      </c>
    </row>
    <row r="836" spans="24:33" s="3" customFormat="1" x14ac:dyDescent="0.25">
      <c r="X836" s="347" t="s">
        <v>42</v>
      </c>
      <c r="Y836" s="348" t="s">
        <v>442</v>
      </c>
      <c r="Z836" s="375" t="s">
        <v>29</v>
      </c>
      <c r="AA836" s="376">
        <v>13</v>
      </c>
      <c r="AB836" s="377" t="s">
        <v>459</v>
      </c>
      <c r="AC836" s="370">
        <v>800</v>
      </c>
      <c r="AD836" s="353">
        <f>AD837</f>
        <v>647.4</v>
      </c>
      <c r="AE836" s="353">
        <f>AE837</f>
        <v>647.4</v>
      </c>
      <c r="AF836" s="468">
        <f t="shared" si="263"/>
        <v>647.4</v>
      </c>
      <c r="AG836" s="478">
        <f t="shared" si="256"/>
        <v>1</v>
      </c>
    </row>
    <row r="837" spans="24:33" s="3" customFormat="1" x14ac:dyDescent="0.25">
      <c r="X837" s="347" t="s">
        <v>58</v>
      </c>
      <c r="Y837" s="348" t="s">
        <v>442</v>
      </c>
      <c r="Z837" s="375" t="s">
        <v>29</v>
      </c>
      <c r="AA837" s="376">
        <v>13</v>
      </c>
      <c r="AB837" s="377" t="s">
        <v>459</v>
      </c>
      <c r="AC837" s="370">
        <v>850</v>
      </c>
      <c r="AD837" s="353">
        <v>647.4</v>
      </c>
      <c r="AE837" s="353">
        <v>647.4</v>
      </c>
      <c r="AF837" s="468">
        <v>647.4</v>
      </c>
      <c r="AG837" s="478">
        <f t="shared" si="256"/>
        <v>1</v>
      </c>
    </row>
    <row r="838" spans="24:33" s="3" customFormat="1" ht="18.75" x14ac:dyDescent="0.3">
      <c r="X838" s="340" t="s">
        <v>44</v>
      </c>
      <c r="Y838" s="341" t="s">
        <v>442</v>
      </c>
      <c r="Z838" s="378" t="s">
        <v>48</v>
      </c>
      <c r="AA838" s="419"/>
      <c r="AB838" s="420"/>
      <c r="AC838" s="421"/>
      <c r="AD838" s="346">
        <f>AD839+AD848</f>
        <v>120683.4</v>
      </c>
      <c r="AE838" s="346">
        <f>AE839+AE848</f>
        <v>120683.4</v>
      </c>
      <c r="AF838" s="467">
        <f>AF839+AF848</f>
        <v>115604.29999999999</v>
      </c>
      <c r="AG838" s="477">
        <f t="shared" si="256"/>
        <v>0.9579138473062575</v>
      </c>
    </row>
    <row r="839" spans="24:33" s="3" customFormat="1" ht="18.75" x14ac:dyDescent="0.3">
      <c r="X839" s="347" t="s">
        <v>15</v>
      </c>
      <c r="Y839" s="348" t="s">
        <v>442</v>
      </c>
      <c r="Z839" s="387" t="s">
        <v>48</v>
      </c>
      <c r="AA839" s="350" t="s">
        <v>5</v>
      </c>
      <c r="AB839" s="420"/>
      <c r="AC839" s="421"/>
      <c r="AD839" s="353">
        <f t="shared" ref="AD839:AF846" si="264">AD840</f>
        <v>954</v>
      </c>
      <c r="AE839" s="353">
        <f t="shared" si="264"/>
        <v>954</v>
      </c>
      <c r="AF839" s="468">
        <f t="shared" si="264"/>
        <v>669.2</v>
      </c>
      <c r="AG839" s="478">
        <f t="shared" si="256"/>
        <v>0.70146750524109014</v>
      </c>
    </row>
    <row r="840" spans="24:33" s="3" customFormat="1" ht="18.75" x14ac:dyDescent="0.3">
      <c r="X840" s="356" t="s">
        <v>245</v>
      </c>
      <c r="Y840" s="348" t="s">
        <v>442</v>
      </c>
      <c r="Z840" s="387" t="s">
        <v>48</v>
      </c>
      <c r="AA840" s="350" t="s">
        <v>5</v>
      </c>
      <c r="AB840" s="355" t="s">
        <v>139</v>
      </c>
      <c r="AC840" s="421"/>
      <c r="AD840" s="353">
        <f t="shared" si="264"/>
        <v>954</v>
      </c>
      <c r="AE840" s="353">
        <f t="shared" si="264"/>
        <v>954</v>
      </c>
      <c r="AF840" s="468">
        <f t="shared" si="264"/>
        <v>669.2</v>
      </c>
      <c r="AG840" s="478">
        <f t="shared" si="256"/>
        <v>0.70146750524109014</v>
      </c>
    </row>
    <row r="841" spans="24:33" s="3" customFormat="1" ht="31.5" x14ac:dyDescent="0.3">
      <c r="X841" s="364" t="s">
        <v>563</v>
      </c>
      <c r="Y841" s="348" t="s">
        <v>442</v>
      </c>
      <c r="Z841" s="387" t="s">
        <v>48</v>
      </c>
      <c r="AA841" s="350" t="s">
        <v>5</v>
      </c>
      <c r="AB841" s="355" t="s">
        <v>246</v>
      </c>
      <c r="AC841" s="421"/>
      <c r="AD841" s="353">
        <f t="shared" si="264"/>
        <v>954</v>
      </c>
      <c r="AE841" s="353">
        <f t="shared" si="264"/>
        <v>954</v>
      </c>
      <c r="AF841" s="468">
        <f t="shared" si="264"/>
        <v>669.2</v>
      </c>
      <c r="AG841" s="478">
        <f t="shared" si="256"/>
        <v>0.70146750524109014</v>
      </c>
    </row>
    <row r="842" spans="24:33" s="3" customFormat="1" ht="18.75" x14ac:dyDescent="0.3">
      <c r="X842" s="356" t="s">
        <v>564</v>
      </c>
      <c r="Y842" s="348" t="s">
        <v>442</v>
      </c>
      <c r="Z842" s="387" t="s">
        <v>48</v>
      </c>
      <c r="AA842" s="350" t="s">
        <v>5</v>
      </c>
      <c r="AB842" s="355" t="s">
        <v>247</v>
      </c>
      <c r="AC842" s="421"/>
      <c r="AD842" s="353">
        <f t="shared" si="264"/>
        <v>954</v>
      </c>
      <c r="AE842" s="353">
        <f t="shared" si="264"/>
        <v>954</v>
      </c>
      <c r="AF842" s="468">
        <f t="shared" si="264"/>
        <v>669.2</v>
      </c>
      <c r="AG842" s="478">
        <f t="shared" si="256"/>
        <v>0.70146750524109014</v>
      </c>
    </row>
    <row r="843" spans="24:33" s="3" customFormat="1" ht="31.5" x14ac:dyDescent="0.25">
      <c r="X843" s="356" t="s">
        <v>448</v>
      </c>
      <c r="Y843" s="348" t="s">
        <v>442</v>
      </c>
      <c r="Z843" s="387" t="s">
        <v>48</v>
      </c>
      <c r="AA843" s="350" t="s">
        <v>5</v>
      </c>
      <c r="AB843" s="355" t="s">
        <v>248</v>
      </c>
      <c r="AC843" s="357"/>
      <c r="AD843" s="353">
        <f>AD846+AD844</f>
        <v>954</v>
      </c>
      <c r="AE843" s="353">
        <f>AE846+AE844</f>
        <v>954</v>
      </c>
      <c r="AF843" s="468">
        <f>AF846+AF844</f>
        <v>669.2</v>
      </c>
      <c r="AG843" s="478">
        <f t="shared" si="256"/>
        <v>0.70146750524109014</v>
      </c>
    </row>
    <row r="844" spans="24:33" s="3" customFormat="1" ht="47.25" x14ac:dyDescent="0.25">
      <c r="X844" s="347" t="s">
        <v>41</v>
      </c>
      <c r="Y844" s="348" t="s">
        <v>442</v>
      </c>
      <c r="Z844" s="387" t="s">
        <v>48</v>
      </c>
      <c r="AA844" s="350" t="s">
        <v>5</v>
      </c>
      <c r="AB844" s="355" t="s">
        <v>248</v>
      </c>
      <c r="AC844" s="357">
        <v>100</v>
      </c>
      <c r="AD844" s="353">
        <f>AD845</f>
        <v>141</v>
      </c>
      <c r="AE844" s="353">
        <f>AE845</f>
        <v>141</v>
      </c>
      <c r="AF844" s="468">
        <f>AF845</f>
        <v>141</v>
      </c>
      <c r="AG844" s="478">
        <f t="shared" si="256"/>
        <v>1</v>
      </c>
    </row>
    <row r="845" spans="24:33" s="3" customFormat="1" x14ac:dyDescent="0.25">
      <c r="X845" s="347" t="s">
        <v>97</v>
      </c>
      <c r="Y845" s="348" t="s">
        <v>442</v>
      </c>
      <c r="Z845" s="387" t="s">
        <v>48</v>
      </c>
      <c r="AA845" s="350" t="s">
        <v>5</v>
      </c>
      <c r="AB845" s="355" t="s">
        <v>248</v>
      </c>
      <c r="AC845" s="357">
        <v>120</v>
      </c>
      <c r="AD845" s="353">
        <f>282-141</f>
        <v>141</v>
      </c>
      <c r="AE845" s="353">
        <f>282-141</f>
        <v>141</v>
      </c>
      <c r="AF845" s="468">
        <v>141</v>
      </c>
      <c r="AG845" s="478">
        <f t="shared" si="256"/>
        <v>1</v>
      </c>
    </row>
    <row r="846" spans="24:33" s="3" customFormat="1" x14ac:dyDescent="0.25">
      <c r="X846" s="347" t="s">
        <v>121</v>
      </c>
      <c r="Y846" s="348" t="s">
        <v>442</v>
      </c>
      <c r="Z846" s="387" t="s">
        <v>48</v>
      </c>
      <c r="AA846" s="350" t="s">
        <v>5</v>
      </c>
      <c r="AB846" s="355" t="s">
        <v>248</v>
      </c>
      <c r="AC846" s="352">
        <v>200</v>
      </c>
      <c r="AD846" s="353">
        <f t="shared" si="264"/>
        <v>813</v>
      </c>
      <c r="AE846" s="353">
        <f t="shared" si="264"/>
        <v>813</v>
      </c>
      <c r="AF846" s="468">
        <f t="shared" si="264"/>
        <v>528.20000000000005</v>
      </c>
      <c r="AG846" s="478">
        <f t="shared" si="256"/>
        <v>0.64969249692496933</v>
      </c>
    </row>
    <row r="847" spans="24:33" s="3" customFormat="1" ht="31.5" x14ac:dyDescent="0.25">
      <c r="X847" s="347" t="s">
        <v>52</v>
      </c>
      <c r="Y847" s="348" t="s">
        <v>442</v>
      </c>
      <c r="Z847" s="387" t="s">
        <v>48</v>
      </c>
      <c r="AA847" s="350" t="s">
        <v>5</v>
      </c>
      <c r="AB847" s="355" t="s">
        <v>248</v>
      </c>
      <c r="AC847" s="357">
        <v>240</v>
      </c>
      <c r="AD847" s="353">
        <f>1175-362</f>
        <v>813</v>
      </c>
      <c r="AE847" s="353">
        <f>1175-362</f>
        <v>813</v>
      </c>
      <c r="AF847" s="468">
        <v>528.20000000000005</v>
      </c>
      <c r="AG847" s="478">
        <f t="shared" si="256"/>
        <v>0.64969249692496933</v>
      </c>
    </row>
    <row r="848" spans="24:33" s="3" customFormat="1" ht="18.75" x14ac:dyDescent="0.3">
      <c r="X848" s="347" t="s">
        <v>94</v>
      </c>
      <c r="Y848" s="348" t="s">
        <v>442</v>
      </c>
      <c r="Z848" s="349" t="s">
        <v>48</v>
      </c>
      <c r="AA848" s="350" t="s">
        <v>22</v>
      </c>
      <c r="AB848" s="383"/>
      <c r="AC848" s="384"/>
      <c r="AD848" s="353">
        <f>AD849+AD861</f>
        <v>119729.4</v>
      </c>
      <c r="AE848" s="353">
        <f>AE849+AE861</f>
        <v>119729.4</v>
      </c>
      <c r="AF848" s="468">
        <f>AF849+AF861</f>
        <v>114935.09999999999</v>
      </c>
      <c r="AG848" s="478">
        <f t="shared" si="256"/>
        <v>0.9599572034938787</v>
      </c>
    </row>
    <row r="849" spans="24:33" s="3" customFormat="1" ht="31.5" x14ac:dyDescent="0.25">
      <c r="X849" s="354" t="s">
        <v>230</v>
      </c>
      <c r="Y849" s="348" t="s">
        <v>442</v>
      </c>
      <c r="Z849" s="349" t="s">
        <v>48</v>
      </c>
      <c r="AA849" s="350" t="s">
        <v>22</v>
      </c>
      <c r="AB849" s="355" t="s">
        <v>231</v>
      </c>
      <c r="AC849" s="357"/>
      <c r="AD849" s="353">
        <f t="shared" ref="AD849:AF850" si="265">AD850</f>
        <v>76597.399999999994</v>
      </c>
      <c r="AE849" s="353">
        <f t="shared" si="265"/>
        <v>76597.399999999994</v>
      </c>
      <c r="AF849" s="468">
        <f t="shared" si="265"/>
        <v>72504.399999999994</v>
      </c>
      <c r="AG849" s="478">
        <f t="shared" si="256"/>
        <v>0.94656476590589234</v>
      </c>
    </row>
    <row r="850" spans="24:33" s="3" customFormat="1" x14ac:dyDescent="0.25">
      <c r="X850" s="354" t="s">
        <v>236</v>
      </c>
      <c r="Y850" s="348" t="s">
        <v>442</v>
      </c>
      <c r="Z850" s="349" t="s">
        <v>48</v>
      </c>
      <c r="AA850" s="350" t="s">
        <v>22</v>
      </c>
      <c r="AB850" s="355" t="s">
        <v>237</v>
      </c>
      <c r="AC850" s="357"/>
      <c r="AD850" s="353">
        <f>AD851</f>
        <v>76597.399999999994</v>
      </c>
      <c r="AE850" s="353">
        <f>AE851</f>
        <v>76597.399999999994</v>
      </c>
      <c r="AF850" s="468">
        <f t="shared" si="265"/>
        <v>72504.399999999994</v>
      </c>
      <c r="AG850" s="478">
        <f t="shared" si="256"/>
        <v>0.94656476590589234</v>
      </c>
    </row>
    <row r="851" spans="24:33" s="3" customFormat="1" ht="31.5" x14ac:dyDescent="0.25">
      <c r="X851" s="368" t="s">
        <v>235</v>
      </c>
      <c r="Y851" s="348" t="s">
        <v>442</v>
      </c>
      <c r="Z851" s="385" t="s">
        <v>48</v>
      </c>
      <c r="AA851" s="386" t="s">
        <v>22</v>
      </c>
      <c r="AB851" s="355" t="s">
        <v>535</v>
      </c>
      <c r="AC851" s="352"/>
      <c r="AD851" s="353">
        <f>AD855+AD858+AD852</f>
        <v>76597.399999999994</v>
      </c>
      <c r="AE851" s="353">
        <f>AE855+AE858+AE852</f>
        <v>76597.399999999994</v>
      </c>
      <c r="AF851" s="468">
        <f>AF855+AF858+AF852</f>
        <v>72504.399999999994</v>
      </c>
      <c r="AG851" s="478">
        <f t="shared" si="256"/>
        <v>0.94656476590589234</v>
      </c>
    </row>
    <row r="852" spans="24:33" s="3" customFormat="1" ht="31.5" x14ac:dyDescent="0.25">
      <c r="X852" s="431" t="s">
        <v>373</v>
      </c>
      <c r="Y852" s="348" t="s">
        <v>442</v>
      </c>
      <c r="Z852" s="349" t="s">
        <v>48</v>
      </c>
      <c r="AA852" s="350" t="s">
        <v>22</v>
      </c>
      <c r="AB852" s="355" t="s">
        <v>536</v>
      </c>
      <c r="AC852" s="352"/>
      <c r="AD852" s="353">
        <f t="shared" ref="AD852:AF853" si="266">AD853</f>
        <v>1279.4000000000001</v>
      </c>
      <c r="AE852" s="353">
        <f t="shared" si="266"/>
        <v>1279.4000000000001</v>
      </c>
      <c r="AF852" s="468">
        <f t="shared" si="266"/>
        <v>1053.7</v>
      </c>
      <c r="AG852" s="478">
        <f t="shared" si="256"/>
        <v>0.82358918242926371</v>
      </c>
    </row>
    <row r="853" spans="24:33" s="3" customFormat="1" x14ac:dyDescent="0.25">
      <c r="X853" s="347" t="s">
        <v>121</v>
      </c>
      <c r="Y853" s="348" t="s">
        <v>442</v>
      </c>
      <c r="Z853" s="349" t="s">
        <v>48</v>
      </c>
      <c r="AA853" s="350" t="s">
        <v>22</v>
      </c>
      <c r="AB853" s="355" t="s">
        <v>536</v>
      </c>
      <c r="AC853" s="357">
        <v>200</v>
      </c>
      <c r="AD853" s="353">
        <f t="shared" si="266"/>
        <v>1279.4000000000001</v>
      </c>
      <c r="AE853" s="353">
        <f t="shared" si="266"/>
        <v>1279.4000000000001</v>
      </c>
      <c r="AF853" s="468">
        <f t="shared" si="266"/>
        <v>1053.7</v>
      </c>
      <c r="AG853" s="478">
        <f t="shared" si="256"/>
        <v>0.82358918242926371</v>
      </c>
    </row>
    <row r="854" spans="24:33" s="3" customFormat="1" ht="31.5" x14ac:dyDescent="0.25">
      <c r="X854" s="347" t="s">
        <v>52</v>
      </c>
      <c r="Y854" s="348" t="s">
        <v>442</v>
      </c>
      <c r="Z854" s="385" t="s">
        <v>48</v>
      </c>
      <c r="AA854" s="386" t="s">
        <v>22</v>
      </c>
      <c r="AB854" s="355" t="s">
        <v>536</v>
      </c>
      <c r="AC854" s="357">
        <v>240</v>
      </c>
      <c r="AD854" s="353">
        <f>1000+279.4</f>
        <v>1279.4000000000001</v>
      </c>
      <c r="AE854" s="353">
        <f>1000+279.4</f>
        <v>1279.4000000000001</v>
      </c>
      <c r="AF854" s="468">
        <v>1053.7</v>
      </c>
      <c r="AG854" s="478">
        <f t="shared" si="256"/>
        <v>0.82358918242926371</v>
      </c>
    </row>
    <row r="855" spans="24:33" s="3" customFormat="1" x14ac:dyDescent="0.25">
      <c r="X855" s="368" t="s">
        <v>360</v>
      </c>
      <c r="Y855" s="348" t="s">
        <v>442</v>
      </c>
      <c r="Z855" s="385" t="s">
        <v>48</v>
      </c>
      <c r="AA855" s="386" t="s">
        <v>22</v>
      </c>
      <c r="AB855" s="355" t="s">
        <v>537</v>
      </c>
      <c r="AC855" s="357"/>
      <c r="AD855" s="353">
        <f t="shared" ref="AD855:AF856" si="267">AD856</f>
        <v>19950</v>
      </c>
      <c r="AE855" s="353">
        <f t="shared" si="267"/>
        <v>19950</v>
      </c>
      <c r="AF855" s="468">
        <f t="shared" si="267"/>
        <v>19728.599999999999</v>
      </c>
      <c r="AG855" s="478">
        <f t="shared" si="256"/>
        <v>0.98890225563909762</v>
      </c>
    </row>
    <row r="856" spans="24:33" s="3" customFormat="1" x14ac:dyDescent="0.25">
      <c r="X856" s="347" t="s">
        <v>121</v>
      </c>
      <c r="Y856" s="348" t="s">
        <v>442</v>
      </c>
      <c r="Z856" s="385" t="s">
        <v>48</v>
      </c>
      <c r="AA856" s="386" t="s">
        <v>22</v>
      </c>
      <c r="AB856" s="355" t="s">
        <v>537</v>
      </c>
      <c r="AC856" s="357">
        <v>200</v>
      </c>
      <c r="AD856" s="353">
        <f t="shared" si="267"/>
        <v>19950</v>
      </c>
      <c r="AE856" s="353">
        <f t="shared" si="267"/>
        <v>19950</v>
      </c>
      <c r="AF856" s="468">
        <f t="shared" si="267"/>
        <v>19728.599999999999</v>
      </c>
      <c r="AG856" s="478">
        <f t="shared" si="256"/>
        <v>0.98890225563909762</v>
      </c>
    </row>
    <row r="857" spans="24:33" s="3" customFormat="1" ht="31.5" x14ac:dyDescent="0.25">
      <c r="X857" s="347" t="s">
        <v>52</v>
      </c>
      <c r="Y857" s="348" t="s">
        <v>442</v>
      </c>
      <c r="Z857" s="385" t="s">
        <v>48</v>
      </c>
      <c r="AA857" s="386" t="s">
        <v>22</v>
      </c>
      <c r="AB857" s="355" t="s">
        <v>537</v>
      </c>
      <c r="AC857" s="357">
        <v>240</v>
      </c>
      <c r="AD857" s="353">
        <f>8500+1200+1000+3000+6250</f>
        <v>19950</v>
      </c>
      <c r="AE857" s="353">
        <f>8500+1200+1000+3000+6250</f>
        <v>19950</v>
      </c>
      <c r="AF857" s="468">
        <v>19728.599999999999</v>
      </c>
      <c r="AG857" s="478">
        <f t="shared" si="256"/>
        <v>0.98890225563909762</v>
      </c>
    </row>
    <row r="858" spans="24:33" s="3" customFormat="1" x14ac:dyDescent="0.25">
      <c r="X858" s="368" t="s">
        <v>668</v>
      </c>
      <c r="Y858" s="348" t="s">
        <v>442</v>
      </c>
      <c r="Z858" s="385" t="s">
        <v>48</v>
      </c>
      <c r="AA858" s="386" t="s">
        <v>22</v>
      </c>
      <c r="AB858" s="355" t="s">
        <v>667</v>
      </c>
      <c r="AC858" s="357"/>
      <c r="AD858" s="353">
        <f t="shared" ref="AD858:AF859" si="268">AD859</f>
        <v>55368</v>
      </c>
      <c r="AE858" s="353">
        <f t="shared" si="268"/>
        <v>55368</v>
      </c>
      <c r="AF858" s="468">
        <f t="shared" si="268"/>
        <v>51722.1</v>
      </c>
      <c r="AG858" s="478">
        <f t="shared" si="256"/>
        <v>0.93415149544863452</v>
      </c>
    </row>
    <row r="859" spans="24:33" s="3" customFormat="1" x14ac:dyDescent="0.25">
      <c r="X859" s="347" t="s">
        <v>121</v>
      </c>
      <c r="Y859" s="348" t="s">
        <v>442</v>
      </c>
      <c r="Z859" s="385" t="s">
        <v>48</v>
      </c>
      <c r="AA859" s="386" t="s">
        <v>22</v>
      </c>
      <c r="AB859" s="355" t="s">
        <v>667</v>
      </c>
      <c r="AC859" s="357">
        <v>200</v>
      </c>
      <c r="AD859" s="353">
        <f t="shared" si="268"/>
        <v>55368</v>
      </c>
      <c r="AE859" s="353">
        <f t="shared" si="268"/>
        <v>55368</v>
      </c>
      <c r="AF859" s="468">
        <f t="shared" si="268"/>
        <v>51722.1</v>
      </c>
      <c r="AG859" s="478">
        <f t="shared" si="256"/>
        <v>0.93415149544863452</v>
      </c>
    </row>
    <row r="860" spans="24:33" s="3" customFormat="1" ht="31.5" x14ac:dyDescent="0.25">
      <c r="X860" s="347" t="s">
        <v>52</v>
      </c>
      <c r="Y860" s="348" t="s">
        <v>442</v>
      </c>
      <c r="Z860" s="385" t="s">
        <v>48</v>
      </c>
      <c r="AA860" s="386" t="s">
        <v>22</v>
      </c>
      <c r="AB860" s="355" t="s">
        <v>667</v>
      </c>
      <c r="AC860" s="357">
        <v>240</v>
      </c>
      <c r="AD860" s="353">
        <f>55368</f>
        <v>55368</v>
      </c>
      <c r="AE860" s="353">
        <f>55368</f>
        <v>55368</v>
      </c>
      <c r="AF860" s="468">
        <v>51722.1</v>
      </c>
      <c r="AG860" s="478">
        <f t="shared" si="256"/>
        <v>0.93415149544863452</v>
      </c>
    </row>
    <row r="861" spans="24:33" s="3" customFormat="1" x14ac:dyDescent="0.25">
      <c r="X861" s="354" t="s">
        <v>249</v>
      </c>
      <c r="Y861" s="348" t="s">
        <v>442</v>
      </c>
      <c r="Z861" s="385" t="s">
        <v>48</v>
      </c>
      <c r="AA861" s="386" t="s">
        <v>22</v>
      </c>
      <c r="AB861" s="355" t="s">
        <v>250</v>
      </c>
      <c r="AC861" s="357"/>
      <c r="AD861" s="353">
        <f>AD862</f>
        <v>43132</v>
      </c>
      <c r="AE861" s="353">
        <f>AE862</f>
        <v>43132</v>
      </c>
      <c r="AF861" s="468">
        <f>AF862</f>
        <v>42430.7</v>
      </c>
      <c r="AG861" s="478">
        <f t="shared" si="256"/>
        <v>0.98374061021979031</v>
      </c>
    </row>
    <row r="862" spans="24:33" s="3" customFormat="1" ht="31.5" x14ac:dyDescent="0.25">
      <c r="X862" s="369" t="s">
        <v>579</v>
      </c>
      <c r="Y862" s="348" t="s">
        <v>442</v>
      </c>
      <c r="Z862" s="385" t="s">
        <v>48</v>
      </c>
      <c r="AA862" s="386" t="s">
        <v>22</v>
      </c>
      <c r="AB862" s="355" t="s">
        <v>251</v>
      </c>
      <c r="AC862" s="372"/>
      <c r="AD862" s="353">
        <f>AD863+AD868</f>
        <v>43132</v>
      </c>
      <c r="AE862" s="353">
        <f>AE863+AE868</f>
        <v>43132</v>
      </c>
      <c r="AF862" s="468">
        <f>AF863+AF868</f>
        <v>42430.7</v>
      </c>
      <c r="AG862" s="478">
        <f t="shared" si="256"/>
        <v>0.98374061021979031</v>
      </c>
    </row>
    <row r="863" spans="24:33" s="3" customFormat="1" ht="36" customHeight="1" x14ac:dyDescent="0.25">
      <c r="X863" s="368" t="s">
        <v>580</v>
      </c>
      <c r="Y863" s="348" t="s">
        <v>442</v>
      </c>
      <c r="Z863" s="385" t="s">
        <v>48</v>
      </c>
      <c r="AA863" s="386" t="s">
        <v>22</v>
      </c>
      <c r="AB863" s="355" t="s">
        <v>252</v>
      </c>
      <c r="AC863" s="357"/>
      <c r="AD863" s="353">
        <f t="shared" ref="AD863:AF865" si="269">AD864</f>
        <v>10982.6</v>
      </c>
      <c r="AE863" s="353">
        <f t="shared" si="269"/>
        <v>10982.6</v>
      </c>
      <c r="AF863" s="468">
        <f t="shared" si="269"/>
        <v>10982.6</v>
      </c>
      <c r="AG863" s="478">
        <f t="shared" si="256"/>
        <v>1</v>
      </c>
    </row>
    <row r="864" spans="24:33" s="3" customFormat="1" x14ac:dyDescent="0.25">
      <c r="X864" s="347" t="s">
        <v>472</v>
      </c>
      <c r="Y864" s="348" t="s">
        <v>442</v>
      </c>
      <c r="Z864" s="385" t="s">
        <v>48</v>
      </c>
      <c r="AA864" s="386" t="s">
        <v>22</v>
      </c>
      <c r="AB864" s="355" t="s">
        <v>673</v>
      </c>
      <c r="AC864" s="372"/>
      <c r="AD864" s="353">
        <f t="shared" si="269"/>
        <v>10982.6</v>
      </c>
      <c r="AE864" s="353">
        <f t="shared" si="269"/>
        <v>10982.6</v>
      </c>
      <c r="AF864" s="468">
        <f t="shared" si="269"/>
        <v>10982.6</v>
      </c>
      <c r="AG864" s="478">
        <f t="shared" si="256"/>
        <v>1</v>
      </c>
    </row>
    <row r="865" spans="24:33" s="3" customFormat="1" x14ac:dyDescent="0.25">
      <c r="X865" s="347" t="s">
        <v>121</v>
      </c>
      <c r="Y865" s="348" t="s">
        <v>442</v>
      </c>
      <c r="Z865" s="385" t="s">
        <v>48</v>
      </c>
      <c r="AA865" s="386" t="s">
        <v>22</v>
      </c>
      <c r="AB865" s="355" t="s">
        <v>673</v>
      </c>
      <c r="AC865" s="372" t="s">
        <v>37</v>
      </c>
      <c r="AD865" s="353">
        <f t="shared" si="269"/>
        <v>10982.6</v>
      </c>
      <c r="AE865" s="353">
        <f t="shared" si="269"/>
        <v>10982.6</v>
      </c>
      <c r="AF865" s="468">
        <f t="shared" si="269"/>
        <v>10982.6</v>
      </c>
      <c r="AG865" s="478">
        <f t="shared" si="256"/>
        <v>1</v>
      </c>
    </row>
    <row r="866" spans="24:33" s="3" customFormat="1" ht="31.5" x14ac:dyDescent="0.25">
      <c r="X866" s="347" t="s">
        <v>52</v>
      </c>
      <c r="Y866" s="348" t="s">
        <v>442</v>
      </c>
      <c r="Z866" s="385" t="s">
        <v>48</v>
      </c>
      <c r="AA866" s="386" t="s">
        <v>22</v>
      </c>
      <c r="AB866" s="355" t="s">
        <v>673</v>
      </c>
      <c r="AC866" s="372" t="s">
        <v>66</v>
      </c>
      <c r="AD866" s="353">
        <f>10982.6</f>
        <v>10982.6</v>
      </c>
      <c r="AE866" s="353">
        <f>10982.6</f>
        <v>10982.6</v>
      </c>
      <c r="AF866" s="468">
        <v>10982.6</v>
      </c>
      <c r="AG866" s="478">
        <f t="shared" si="256"/>
        <v>1</v>
      </c>
    </row>
    <row r="867" spans="24:33" s="3" customFormat="1" x14ac:dyDescent="0.25">
      <c r="X867" s="368" t="s">
        <v>391</v>
      </c>
      <c r="Y867" s="348" t="s">
        <v>442</v>
      </c>
      <c r="Z867" s="385" t="s">
        <v>48</v>
      </c>
      <c r="AA867" s="386" t="s">
        <v>22</v>
      </c>
      <c r="AB867" s="432" t="s">
        <v>456</v>
      </c>
      <c r="AC867" s="357"/>
      <c r="AD867" s="353">
        <f>AD868</f>
        <v>32149.4</v>
      </c>
      <c r="AE867" s="353">
        <f>AE868</f>
        <v>32149.4</v>
      </c>
      <c r="AF867" s="468">
        <f>AF868</f>
        <v>31448.1</v>
      </c>
      <c r="AG867" s="478">
        <f t="shared" si="256"/>
        <v>0.97818621809427231</v>
      </c>
    </row>
    <row r="868" spans="24:33" s="3" customFormat="1" x14ac:dyDescent="0.25">
      <c r="X868" s="347" t="s">
        <v>420</v>
      </c>
      <c r="Y868" s="348" t="s">
        <v>442</v>
      </c>
      <c r="Z868" s="385" t="s">
        <v>48</v>
      </c>
      <c r="AA868" s="386" t="s">
        <v>22</v>
      </c>
      <c r="AB868" s="432" t="s">
        <v>675</v>
      </c>
      <c r="AC868" s="357"/>
      <c r="AD868" s="353">
        <f t="shared" ref="AD868:AF869" si="270">AD869</f>
        <v>32149.4</v>
      </c>
      <c r="AE868" s="353">
        <f t="shared" si="270"/>
        <v>32149.4</v>
      </c>
      <c r="AF868" s="468">
        <f t="shared" si="270"/>
        <v>31448.1</v>
      </c>
      <c r="AG868" s="478">
        <f t="shared" si="256"/>
        <v>0.97818621809427231</v>
      </c>
    </row>
    <row r="869" spans="24:33" s="3" customFormat="1" x14ac:dyDescent="0.25">
      <c r="X869" s="347" t="s">
        <v>121</v>
      </c>
      <c r="Y869" s="348" t="s">
        <v>442</v>
      </c>
      <c r="Z869" s="385" t="s">
        <v>48</v>
      </c>
      <c r="AA869" s="386" t="s">
        <v>22</v>
      </c>
      <c r="AB869" s="432" t="s">
        <v>675</v>
      </c>
      <c r="AC869" s="357">
        <v>200</v>
      </c>
      <c r="AD869" s="353">
        <f t="shared" si="270"/>
        <v>32149.4</v>
      </c>
      <c r="AE869" s="353">
        <f t="shared" si="270"/>
        <v>32149.4</v>
      </c>
      <c r="AF869" s="468">
        <f t="shared" si="270"/>
        <v>31448.1</v>
      </c>
      <c r="AG869" s="478">
        <f t="shared" si="256"/>
        <v>0.97818621809427231</v>
      </c>
    </row>
    <row r="870" spans="24:33" s="3" customFormat="1" ht="31.5" x14ac:dyDescent="0.25">
      <c r="X870" s="347" t="s">
        <v>52</v>
      </c>
      <c r="Y870" s="348" t="s">
        <v>442</v>
      </c>
      <c r="Z870" s="385" t="s">
        <v>48</v>
      </c>
      <c r="AA870" s="386" t="s">
        <v>22</v>
      </c>
      <c r="AB870" s="432" t="s">
        <v>675</v>
      </c>
      <c r="AC870" s="357">
        <v>240</v>
      </c>
      <c r="AD870" s="353">
        <f>32149.4</f>
        <v>32149.4</v>
      </c>
      <c r="AE870" s="353">
        <f>32149.4</f>
        <v>32149.4</v>
      </c>
      <c r="AF870" s="468">
        <v>31448.1</v>
      </c>
      <c r="AG870" s="478">
        <f t="shared" si="256"/>
        <v>0.97818621809427231</v>
      </c>
    </row>
    <row r="871" spans="24:33" s="3" customFormat="1" x14ac:dyDescent="0.25">
      <c r="X871" s="340" t="s">
        <v>3</v>
      </c>
      <c r="Y871" s="341" t="s">
        <v>442</v>
      </c>
      <c r="Z871" s="378" t="s">
        <v>5</v>
      </c>
      <c r="AA871" s="343"/>
      <c r="AB871" s="344"/>
      <c r="AC871" s="345"/>
      <c r="AD871" s="346">
        <f>AD872+AD918+AD968+AD885</f>
        <v>1276743.0000000002</v>
      </c>
      <c r="AE871" s="346">
        <f>AE872+AE918+AE968+AE885</f>
        <v>1271951.6000000001</v>
      </c>
      <c r="AF871" s="467">
        <f>AF872+AF918+AF968+AF885</f>
        <v>1220316.8</v>
      </c>
      <c r="AG871" s="477">
        <f t="shared" ref="AG871:AG927" si="271">AF871/AE871</f>
        <v>0.95940505912331886</v>
      </c>
    </row>
    <row r="872" spans="24:33" s="3" customFormat="1" x14ac:dyDescent="0.25">
      <c r="X872" s="347" t="s">
        <v>70</v>
      </c>
      <c r="Y872" s="348" t="s">
        <v>442</v>
      </c>
      <c r="Z872" s="349" t="s">
        <v>5</v>
      </c>
      <c r="AA872" s="350" t="s">
        <v>29</v>
      </c>
      <c r="AB872" s="351"/>
      <c r="AC872" s="352"/>
      <c r="AD872" s="353">
        <f>AD873+AD879</f>
        <v>650</v>
      </c>
      <c r="AE872" s="353">
        <f>AE873+AE879</f>
        <v>650</v>
      </c>
      <c r="AF872" s="468">
        <f>AF873+AF879</f>
        <v>650</v>
      </c>
      <c r="AG872" s="478">
        <f t="shared" si="271"/>
        <v>1</v>
      </c>
    </row>
    <row r="873" spans="24:33" s="3" customFormat="1" x14ac:dyDescent="0.25">
      <c r="X873" s="354" t="s">
        <v>249</v>
      </c>
      <c r="Y873" s="348" t="s">
        <v>442</v>
      </c>
      <c r="Z873" s="349" t="s">
        <v>5</v>
      </c>
      <c r="AA873" s="350" t="s">
        <v>29</v>
      </c>
      <c r="AB873" s="355" t="s">
        <v>250</v>
      </c>
      <c r="AC873" s="352"/>
      <c r="AD873" s="353">
        <f t="shared" ref="AD873:AF877" si="272">AD874</f>
        <v>100</v>
      </c>
      <c r="AE873" s="353">
        <f t="shared" si="272"/>
        <v>100</v>
      </c>
      <c r="AF873" s="468">
        <f t="shared" si="272"/>
        <v>100</v>
      </c>
      <c r="AG873" s="478">
        <f t="shared" si="271"/>
        <v>1</v>
      </c>
    </row>
    <row r="874" spans="24:33" s="3" customFormat="1" ht="31.5" x14ac:dyDescent="0.25">
      <c r="X874" s="369" t="s">
        <v>579</v>
      </c>
      <c r="Y874" s="348" t="s">
        <v>442</v>
      </c>
      <c r="Z874" s="349" t="s">
        <v>5</v>
      </c>
      <c r="AA874" s="350" t="s">
        <v>29</v>
      </c>
      <c r="AB874" s="355" t="s">
        <v>251</v>
      </c>
      <c r="AC874" s="352"/>
      <c r="AD874" s="353">
        <f>AD875</f>
        <v>100</v>
      </c>
      <c r="AE874" s="353">
        <f>AE875</f>
        <v>100</v>
      </c>
      <c r="AF874" s="468">
        <f>AF875</f>
        <v>100</v>
      </c>
      <c r="AG874" s="478">
        <f t="shared" si="271"/>
        <v>1</v>
      </c>
    </row>
    <row r="875" spans="24:33" s="3" customFormat="1" ht="31.5" x14ac:dyDescent="0.25">
      <c r="X875" s="403" t="s">
        <v>332</v>
      </c>
      <c r="Y875" s="348" t="s">
        <v>442</v>
      </c>
      <c r="Z875" s="349" t="s">
        <v>5</v>
      </c>
      <c r="AA875" s="350" t="s">
        <v>29</v>
      </c>
      <c r="AB875" s="355" t="s">
        <v>583</v>
      </c>
      <c r="AC875" s="352"/>
      <c r="AD875" s="353">
        <f t="shared" si="272"/>
        <v>100</v>
      </c>
      <c r="AE875" s="353">
        <f t="shared" si="272"/>
        <v>100</v>
      </c>
      <c r="AF875" s="468">
        <f t="shared" si="272"/>
        <v>100</v>
      </c>
      <c r="AG875" s="478">
        <f t="shared" si="271"/>
        <v>1</v>
      </c>
    </row>
    <row r="876" spans="24:33" s="3" customFormat="1" x14ac:dyDescent="0.25">
      <c r="X876" s="403" t="s">
        <v>358</v>
      </c>
      <c r="Y876" s="348" t="s">
        <v>442</v>
      </c>
      <c r="Z876" s="349" t="s">
        <v>5</v>
      </c>
      <c r="AA876" s="350" t="s">
        <v>29</v>
      </c>
      <c r="AB876" s="355" t="s">
        <v>584</v>
      </c>
      <c r="AC876" s="352"/>
      <c r="AD876" s="353">
        <f t="shared" si="272"/>
        <v>100</v>
      </c>
      <c r="AE876" s="353">
        <f t="shared" si="272"/>
        <v>100</v>
      </c>
      <c r="AF876" s="468">
        <f t="shared" si="272"/>
        <v>100</v>
      </c>
      <c r="AG876" s="478">
        <f t="shared" si="271"/>
        <v>1</v>
      </c>
    </row>
    <row r="877" spans="24:33" s="3" customFormat="1" x14ac:dyDescent="0.25">
      <c r="X877" s="366" t="s">
        <v>121</v>
      </c>
      <c r="Y877" s="348" t="s">
        <v>442</v>
      </c>
      <c r="Z877" s="349" t="s">
        <v>5</v>
      </c>
      <c r="AA877" s="350" t="s">
        <v>29</v>
      </c>
      <c r="AB877" s="355" t="s">
        <v>584</v>
      </c>
      <c r="AC877" s="372" t="s">
        <v>37</v>
      </c>
      <c r="AD877" s="353">
        <f t="shared" si="272"/>
        <v>100</v>
      </c>
      <c r="AE877" s="353">
        <f t="shared" si="272"/>
        <v>100</v>
      </c>
      <c r="AF877" s="468">
        <f t="shared" si="272"/>
        <v>100</v>
      </c>
      <c r="AG877" s="478">
        <f t="shared" si="271"/>
        <v>1</v>
      </c>
    </row>
    <row r="878" spans="24:33" s="3" customFormat="1" ht="31.5" x14ac:dyDescent="0.25">
      <c r="X878" s="366" t="s">
        <v>52</v>
      </c>
      <c r="Y878" s="348" t="s">
        <v>442</v>
      </c>
      <c r="Z878" s="349" t="s">
        <v>5</v>
      </c>
      <c r="AA878" s="350" t="s">
        <v>29</v>
      </c>
      <c r="AB878" s="355" t="s">
        <v>584</v>
      </c>
      <c r="AC878" s="372" t="s">
        <v>66</v>
      </c>
      <c r="AD878" s="353">
        <f>100+250-250</f>
        <v>100</v>
      </c>
      <c r="AE878" s="353">
        <f>100+250-250</f>
        <v>100</v>
      </c>
      <c r="AF878" s="468">
        <v>100</v>
      </c>
      <c r="AG878" s="478">
        <f t="shared" si="271"/>
        <v>1</v>
      </c>
    </row>
    <row r="879" spans="24:33" s="3" customFormat="1" x14ac:dyDescent="0.25">
      <c r="X879" s="216" t="s">
        <v>760</v>
      </c>
      <c r="Y879" s="348" t="s">
        <v>442</v>
      </c>
      <c r="Z879" s="349" t="s">
        <v>5</v>
      </c>
      <c r="AA879" s="350" t="s">
        <v>29</v>
      </c>
      <c r="AB879" s="355" t="s">
        <v>709</v>
      </c>
      <c r="AC879" s="372"/>
      <c r="AD879" s="353">
        <f t="shared" ref="AD879:AE883" si="273">AD880</f>
        <v>550</v>
      </c>
      <c r="AE879" s="353">
        <f t="shared" si="273"/>
        <v>550</v>
      </c>
      <c r="AF879" s="468">
        <f t="shared" ref="AF879:AF882" si="274">AF880</f>
        <v>550</v>
      </c>
      <c r="AG879" s="478">
        <f t="shared" si="271"/>
        <v>1</v>
      </c>
    </row>
    <row r="880" spans="24:33" s="3" customFormat="1" ht="33" customHeight="1" x14ac:dyDescent="0.25">
      <c r="X880" s="366" t="s">
        <v>805</v>
      </c>
      <c r="Y880" s="348" t="s">
        <v>442</v>
      </c>
      <c r="Z880" s="349" t="s">
        <v>5</v>
      </c>
      <c r="AA880" s="350" t="s">
        <v>29</v>
      </c>
      <c r="AB880" s="355" t="s">
        <v>806</v>
      </c>
      <c r="AC880" s="372"/>
      <c r="AD880" s="353">
        <f t="shared" si="273"/>
        <v>550</v>
      </c>
      <c r="AE880" s="353">
        <f t="shared" si="273"/>
        <v>550</v>
      </c>
      <c r="AF880" s="468">
        <f t="shared" si="274"/>
        <v>550</v>
      </c>
      <c r="AG880" s="478">
        <f t="shared" si="271"/>
        <v>1</v>
      </c>
    </row>
    <row r="881" spans="24:33" s="3" customFormat="1" x14ac:dyDescent="0.25">
      <c r="X881" s="369" t="s">
        <v>807</v>
      </c>
      <c r="Y881" s="348" t="s">
        <v>442</v>
      </c>
      <c r="Z881" s="349" t="s">
        <v>5</v>
      </c>
      <c r="AA881" s="350" t="s">
        <v>29</v>
      </c>
      <c r="AB881" s="355" t="s">
        <v>808</v>
      </c>
      <c r="AC881" s="372"/>
      <c r="AD881" s="353">
        <f t="shared" si="273"/>
        <v>550</v>
      </c>
      <c r="AE881" s="353">
        <f t="shared" si="273"/>
        <v>550</v>
      </c>
      <c r="AF881" s="468">
        <f t="shared" si="274"/>
        <v>550</v>
      </c>
      <c r="AG881" s="478">
        <f t="shared" si="271"/>
        <v>1</v>
      </c>
    </row>
    <row r="882" spans="24:33" s="3" customFormat="1" ht="31.5" x14ac:dyDescent="0.25">
      <c r="X882" s="369" t="s">
        <v>810</v>
      </c>
      <c r="Y882" s="348" t="s">
        <v>442</v>
      </c>
      <c r="Z882" s="349" t="s">
        <v>5</v>
      </c>
      <c r="AA882" s="350" t="s">
        <v>29</v>
      </c>
      <c r="AB882" s="355" t="s">
        <v>809</v>
      </c>
      <c r="AC882" s="372"/>
      <c r="AD882" s="353">
        <f t="shared" si="273"/>
        <v>550</v>
      </c>
      <c r="AE882" s="353">
        <f t="shared" si="273"/>
        <v>550</v>
      </c>
      <c r="AF882" s="468">
        <f t="shared" si="274"/>
        <v>550</v>
      </c>
      <c r="AG882" s="478">
        <f t="shared" si="271"/>
        <v>1</v>
      </c>
    </row>
    <row r="883" spans="24:33" s="3" customFormat="1" x14ac:dyDescent="0.25">
      <c r="X883" s="366" t="s">
        <v>121</v>
      </c>
      <c r="Y883" s="348" t="s">
        <v>442</v>
      </c>
      <c r="Z883" s="349" t="s">
        <v>5</v>
      </c>
      <c r="AA883" s="350" t="s">
        <v>29</v>
      </c>
      <c r="AB883" s="355" t="s">
        <v>809</v>
      </c>
      <c r="AC883" s="372" t="s">
        <v>37</v>
      </c>
      <c r="AD883" s="353">
        <f t="shared" si="273"/>
        <v>550</v>
      </c>
      <c r="AE883" s="353">
        <f t="shared" si="273"/>
        <v>550</v>
      </c>
      <c r="AF883" s="468">
        <f>AF884</f>
        <v>550</v>
      </c>
      <c r="AG883" s="478">
        <f t="shared" si="271"/>
        <v>1</v>
      </c>
    </row>
    <row r="884" spans="24:33" s="3" customFormat="1" ht="31.5" x14ac:dyDescent="0.25">
      <c r="X884" s="366" t="s">
        <v>52</v>
      </c>
      <c r="Y884" s="348" t="s">
        <v>442</v>
      </c>
      <c r="Z884" s="349" t="s">
        <v>5</v>
      </c>
      <c r="AA884" s="350" t="s">
        <v>29</v>
      </c>
      <c r="AB884" s="355" t="s">
        <v>809</v>
      </c>
      <c r="AC884" s="372" t="s">
        <v>66</v>
      </c>
      <c r="AD884" s="353">
        <f>250+300</f>
        <v>550</v>
      </c>
      <c r="AE884" s="353">
        <f>250+300</f>
        <v>550</v>
      </c>
      <c r="AF884" s="468">
        <v>550</v>
      </c>
      <c r="AG884" s="478">
        <f t="shared" si="271"/>
        <v>1</v>
      </c>
    </row>
    <row r="885" spans="24:33" s="3" customFormat="1" x14ac:dyDescent="0.25">
      <c r="X885" s="347" t="s">
        <v>335</v>
      </c>
      <c r="Y885" s="348" t="s">
        <v>442</v>
      </c>
      <c r="Z885" s="349" t="s">
        <v>5</v>
      </c>
      <c r="AA885" s="350" t="s">
        <v>30</v>
      </c>
      <c r="AB885" s="352"/>
      <c r="AC885" s="372"/>
      <c r="AD885" s="353">
        <f>AD886+AD912</f>
        <v>360786.10000000003</v>
      </c>
      <c r="AE885" s="353">
        <f>AE886+AE912</f>
        <v>355995</v>
      </c>
      <c r="AF885" s="353">
        <f>AF886+AF912</f>
        <v>323960.79999999993</v>
      </c>
      <c r="AG885" s="478">
        <f t="shared" si="271"/>
        <v>0.91001502830095904</v>
      </c>
    </row>
    <row r="886" spans="24:33" s="3" customFormat="1" ht="33.6" customHeight="1" x14ac:dyDescent="0.25">
      <c r="X886" s="347" t="s">
        <v>629</v>
      </c>
      <c r="Y886" s="348" t="s">
        <v>442</v>
      </c>
      <c r="Z886" s="349" t="s">
        <v>5</v>
      </c>
      <c r="AA886" s="350" t="s">
        <v>30</v>
      </c>
      <c r="AB886" s="355" t="s">
        <v>112</v>
      </c>
      <c r="AC886" s="372"/>
      <c r="AD886" s="353">
        <f t="shared" ref="AD886:AF886" si="275">AD887</f>
        <v>360474.9</v>
      </c>
      <c r="AE886" s="353">
        <f t="shared" si="275"/>
        <v>355683.9</v>
      </c>
      <c r="AF886" s="353">
        <f t="shared" si="275"/>
        <v>323649.69999999995</v>
      </c>
      <c r="AG886" s="478">
        <f t="shared" si="271"/>
        <v>0.90993632267302493</v>
      </c>
    </row>
    <row r="887" spans="24:33" s="3" customFormat="1" x14ac:dyDescent="0.25">
      <c r="X887" s="347" t="s">
        <v>567</v>
      </c>
      <c r="Y887" s="348" t="s">
        <v>442</v>
      </c>
      <c r="Z887" s="349" t="s">
        <v>5</v>
      </c>
      <c r="AA887" s="350" t="s">
        <v>30</v>
      </c>
      <c r="AB887" s="355" t="s">
        <v>413</v>
      </c>
      <c r="AC887" s="372"/>
      <c r="AD887" s="353">
        <f>AD888+AD899</f>
        <v>360474.9</v>
      </c>
      <c r="AE887" s="353">
        <f>AE888+AE899</f>
        <v>355683.9</v>
      </c>
      <c r="AF887" s="353">
        <f>AF888+AF899</f>
        <v>323649.69999999995</v>
      </c>
      <c r="AG887" s="478">
        <f t="shared" si="271"/>
        <v>0.90993632267302493</v>
      </c>
    </row>
    <row r="888" spans="24:33" s="3" customFormat="1" ht="33" customHeight="1" x14ac:dyDescent="0.25">
      <c r="X888" s="347" t="s">
        <v>624</v>
      </c>
      <c r="Y888" s="348" t="s">
        <v>442</v>
      </c>
      <c r="Z888" s="349" t="s">
        <v>5</v>
      </c>
      <c r="AA888" s="350" t="s">
        <v>30</v>
      </c>
      <c r="AB888" s="432" t="s">
        <v>473</v>
      </c>
      <c r="AC888" s="372"/>
      <c r="AD888" s="353">
        <f>AD896+AD8132+AD892</f>
        <v>169718.39999999999</v>
      </c>
      <c r="AE888" s="353">
        <f>AE896+AE8132+AE892+AE889</f>
        <v>169718.5</v>
      </c>
      <c r="AF888" s="353">
        <f>AF896+AF8132+AF892</f>
        <v>158785.79999999999</v>
      </c>
      <c r="AG888" s="478">
        <f t="shared" si="271"/>
        <v>0.93558333357883783</v>
      </c>
    </row>
    <row r="889" spans="24:33" s="3" customFormat="1" ht="33" customHeight="1" x14ac:dyDescent="0.25">
      <c r="X889" s="347" t="s">
        <v>825</v>
      </c>
      <c r="Y889" s="348" t="s">
        <v>442</v>
      </c>
      <c r="Z889" s="349" t="s">
        <v>5</v>
      </c>
      <c r="AA889" s="350" t="s">
        <v>30</v>
      </c>
      <c r="AB889" s="432" t="s">
        <v>826</v>
      </c>
      <c r="AC889" s="372"/>
      <c r="AD889" s="353">
        <f>AD890</f>
        <v>0</v>
      </c>
      <c r="AE889" s="353">
        <f>AE890</f>
        <v>0.1</v>
      </c>
      <c r="AF889" s="468">
        <f t="shared" ref="AF889" si="276">AF890</f>
        <v>0</v>
      </c>
      <c r="AG889" s="478">
        <f t="shared" si="271"/>
        <v>0</v>
      </c>
    </row>
    <row r="890" spans="24:33" s="3" customFormat="1" ht="33" customHeight="1" x14ac:dyDescent="0.25">
      <c r="X890" s="347" t="s">
        <v>121</v>
      </c>
      <c r="Y890" s="348" t="s">
        <v>442</v>
      </c>
      <c r="Z890" s="349" t="s">
        <v>5</v>
      </c>
      <c r="AA890" s="350" t="s">
        <v>30</v>
      </c>
      <c r="AB890" s="432" t="s">
        <v>826</v>
      </c>
      <c r="AC890" s="372" t="s">
        <v>37</v>
      </c>
      <c r="AD890" s="353">
        <f>AD891</f>
        <v>0</v>
      </c>
      <c r="AE890" s="353">
        <f>AE891</f>
        <v>0.1</v>
      </c>
      <c r="AF890" s="468">
        <f t="shared" ref="AF890" si="277">AF891</f>
        <v>0</v>
      </c>
      <c r="AG890" s="478">
        <f t="shared" si="271"/>
        <v>0</v>
      </c>
    </row>
    <row r="891" spans="24:33" s="3" customFormat="1" ht="33" customHeight="1" x14ac:dyDescent="0.25">
      <c r="X891" s="347" t="s">
        <v>52</v>
      </c>
      <c r="Y891" s="348" t="s">
        <v>442</v>
      </c>
      <c r="Z891" s="349" t="s">
        <v>5</v>
      </c>
      <c r="AA891" s="350" t="s">
        <v>30</v>
      </c>
      <c r="AB891" s="432" t="s">
        <v>826</v>
      </c>
      <c r="AC891" s="372" t="s">
        <v>66</v>
      </c>
      <c r="AD891" s="353">
        <v>0</v>
      </c>
      <c r="AE891" s="353">
        <v>0.1</v>
      </c>
      <c r="AF891" s="468">
        <v>0</v>
      </c>
      <c r="AG891" s="478">
        <f t="shared" si="271"/>
        <v>0</v>
      </c>
    </row>
    <row r="892" spans="24:33" s="3" customFormat="1" ht="22.9" customHeight="1" x14ac:dyDescent="0.25">
      <c r="X892" s="347" t="s">
        <v>748</v>
      </c>
      <c r="Y892" s="348" t="s">
        <v>442</v>
      </c>
      <c r="Z892" s="349" t="s">
        <v>5</v>
      </c>
      <c r="AA892" s="350" t="s">
        <v>30</v>
      </c>
      <c r="AB892" s="432" t="s">
        <v>749</v>
      </c>
      <c r="AC892" s="372"/>
      <c r="AD892" s="353">
        <f t="shared" ref="AD892:AF893" si="278">AD893</f>
        <v>10138.5</v>
      </c>
      <c r="AE892" s="353">
        <f t="shared" si="278"/>
        <v>10138.5</v>
      </c>
      <c r="AF892" s="468">
        <f t="shared" si="278"/>
        <v>10138.5</v>
      </c>
      <c r="AG892" s="478">
        <f t="shared" si="271"/>
        <v>1</v>
      </c>
    </row>
    <row r="893" spans="24:33" s="3" customFormat="1" ht="21.6" customHeight="1" x14ac:dyDescent="0.25">
      <c r="X893" s="347" t="s">
        <v>121</v>
      </c>
      <c r="Y893" s="348" t="s">
        <v>442</v>
      </c>
      <c r="Z893" s="349" t="s">
        <v>5</v>
      </c>
      <c r="AA893" s="350" t="s">
        <v>30</v>
      </c>
      <c r="AB893" s="432" t="s">
        <v>749</v>
      </c>
      <c r="AC893" s="372" t="s">
        <v>37</v>
      </c>
      <c r="AD893" s="353">
        <f t="shared" si="278"/>
        <v>10138.5</v>
      </c>
      <c r="AE893" s="353">
        <f t="shared" si="278"/>
        <v>10138.5</v>
      </c>
      <c r="AF893" s="468">
        <f t="shared" si="278"/>
        <v>10138.5</v>
      </c>
      <c r="AG893" s="478">
        <f t="shared" si="271"/>
        <v>1</v>
      </c>
    </row>
    <row r="894" spans="24:33" s="3" customFormat="1" ht="35.25" customHeight="1" x14ac:dyDescent="0.25">
      <c r="X894" s="347" t="s">
        <v>52</v>
      </c>
      <c r="Y894" s="348" t="s">
        <v>442</v>
      </c>
      <c r="Z894" s="349" t="s">
        <v>5</v>
      </c>
      <c r="AA894" s="350" t="s">
        <v>30</v>
      </c>
      <c r="AB894" s="432" t="s">
        <v>749</v>
      </c>
      <c r="AC894" s="372" t="s">
        <v>66</v>
      </c>
      <c r="AD894" s="353">
        <f>8293.3+1845.2</f>
        <v>10138.5</v>
      </c>
      <c r="AE894" s="353">
        <f>8293.3+1845.2</f>
        <v>10138.5</v>
      </c>
      <c r="AF894" s="313">
        <v>10138.5</v>
      </c>
      <c r="AG894" s="478">
        <f t="shared" si="271"/>
        <v>1</v>
      </c>
    </row>
    <row r="895" spans="24:33" s="3" customFormat="1" x14ac:dyDescent="0.25">
      <c r="X895" s="402" t="s">
        <v>590</v>
      </c>
      <c r="Y895" s="445" t="s">
        <v>442</v>
      </c>
      <c r="Z895" s="446" t="s">
        <v>5</v>
      </c>
      <c r="AA895" s="447" t="s">
        <v>30</v>
      </c>
      <c r="AB895" s="448" t="s">
        <v>591</v>
      </c>
      <c r="AC895" s="449"/>
      <c r="AD895" s="450">
        <f>AD896</f>
        <v>159579.9</v>
      </c>
      <c r="AE895" s="450">
        <f>AE896</f>
        <v>159579.9</v>
      </c>
      <c r="AF895" s="472">
        <f t="shared" ref="AF895" si="279">AF896</f>
        <v>148647.29999999999</v>
      </c>
      <c r="AG895" s="478">
        <f t="shared" si="271"/>
        <v>0.93149137203369592</v>
      </c>
    </row>
    <row r="896" spans="24:33" s="3" customFormat="1" ht="34.15" customHeight="1" x14ac:dyDescent="0.25">
      <c r="X896" s="402" t="s">
        <v>623</v>
      </c>
      <c r="Y896" s="348" t="s">
        <v>442</v>
      </c>
      <c r="Z896" s="349" t="s">
        <v>5</v>
      </c>
      <c r="AA896" s="350" t="s">
        <v>30</v>
      </c>
      <c r="AB896" s="432" t="s">
        <v>622</v>
      </c>
      <c r="AC896" s="372"/>
      <c r="AD896" s="353">
        <f t="shared" ref="AD896:AF897" si="280">AD897</f>
        <v>159579.9</v>
      </c>
      <c r="AE896" s="353">
        <f t="shared" si="280"/>
        <v>159579.9</v>
      </c>
      <c r="AF896" s="468">
        <f t="shared" si="280"/>
        <v>148647.29999999999</v>
      </c>
      <c r="AG896" s="478">
        <f t="shared" si="271"/>
        <v>0.93149137203369592</v>
      </c>
    </row>
    <row r="897" spans="24:33" s="3" customFormat="1" x14ac:dyDescent="0.25">
      <c r="X897" s="402" t="s">
        <v>443</v>
      </c>
      <c r="Y897" s="348" t="s">
        <v>442</v>
      </c>
      <c r="Z897" s="349" t="s">
        <v>5</v>
      </c>
      <c r="AA897" s="350" t="s">
        <v>30</v>
      </c>
      <c r="AB897" s="432" t="s">
        <v>622</v>
      </c>
      <c r="AC897" s="372" t="s">
        <v>155</v>
      </c>
      <c r="AD897" s="353">
        <f t="shared" si="280"/>
        <v>159579.9</v>
      </c>
      <c r="AE897" s="353">
        <f t="shared" si="280"/>
        <v>159579.9</v>
      </c>
      <c r="AF897" s="468">
        <f t="shared" si="280"/>
        <v>148647.29999999999</v>
      </c>
      <c r="AG897" s="478">
        <f t="shared" si="271"/>
        <v>0.93149137203369592</v>
      </c>
    </row>
    <row r="898" spans="24:33" s="3" customFormat="1" x14ac:dyDescent="0.25">
      <c r="X898" s="347" t="s">
        <v>9</v>
      </c>
      <c r="Y898" s="348" t="s">
        <v>442</v>
      </c>
      <c r="Z898" s="349" t="s">
        <v>5</v>
      </c>
      <c r="AA898" s="350" t="s">
        <v>30</v>
      </c>
      <c r="AB898" s="432" t="s">
        <v>622</v>
      </c>
      <c r="AC898" s="372" t="s">
        <v>156</v>
      </c>
      <c r="AD898" s="353">
        <f>45819.9+9252.1+85487.4+17261.9+1758.6</f>
        <v>159579.9</v>
      </c>
      <c r="AE898" s="353">
        <f>45819.9+9252.1+85487.4+17261.9+1758.6</f>
        <v>159579.9</v>
      </c>
      <c r="AF898" s="468">
        <v>148647.29999999999</v>
      </c>
      <c r="AG898" s="478">
        <f t="shared" si="271"/>
        <v>0.93149137203369592</v>
      </c>
    </row>
    <row r="899" spans="24:33" s="3" customFormat="1" ht="31.5" x14ac:dyDescent="0.25">
      <c r="X899" s="347" t="s">
        <v>695</v>
      </c>
      <c r="Y899" s="348" t="s">
        <v>442</v>
      </c>
      <c r="Z899" s="349" t="s">
        <v>5</v>
      </c>
      <c r="AA899" s="350" t="s">
        <v>30</v>
      </c>
      <c r="AB899" s="355" t="s">
        <v>696</v>
      </c>
      <c r="AC899" s="372"/>
      <c r="AD899" s="353">
        <f>AD905+AD909+AD906+AD900</f>
        <v>190756.50000000003</v>
      </c>
      <c r="AE899" s="353">
        <f>AE905+AE909+AE906+AE900</f>
        <v>185965.40000000002</v>
      </c>
      <c r="AF899" s="468">
        <f t="shared" ref="AF899" si="281">AF905+AF909+AF906+AF900</f>
        <v>164863.9</v>
      </c>
      <c r="AG899" s="478">
        <f t="shared" si="271"/>
        <v>0.8865299674025382</v>
      </c>
    </row>
    <row r="900" spans="24:33" s="3" customFormat="1" ht="35.25" customHeight="1" x14ac:dyDescent="0.25">
      <c r="X900" s="347" t="s">
        <v>827</v>
      </c>
      <c r="Y900" s="348" t="s">
        <v>442</v>
      </c>
      <c r="Z900" s="349" t="s">
        <v>5</v>
      </c>
      <c r="AA900" s="350" t="s">
        <v>30</v>
      </c>
      <c r="AB900" s="355" t="s">
        <v>828</v>
      </c>
      <c r="AC900" s="372"/>
      <c r="AD900" s="353">
        <f>AD901</f>
        <v>0</v>
      </c>
      <c r="AE900" s="353">
        <f t="shared" ref="AE900:AF900" si="282">AE901</f>
        <v>0.1</v>
      </c>
      <c r="AF900" s="468">
        <f t="shared" si="282"/>
        <v>0</v>
      </c>
      <c r="AG900" s="478">
        <f t="shared" si="271"/>
        <v>0</v>
      </c>
    </row>
    <row r="901" spans="24:33" s="3" customFormat="1" x14ac:dyDescent="0.25">
      <c r="X901" s="347" t="s">
        <v>121</v>
      </c>
      <c r="Y901" s="348" t="s">
        <v>442</v>
      </c>
      <c r="Z901" s="349" t="s">
        <v>5</v>
      </c>
      <c r="AA901" s="350" t="s">
        <v>30</v>
      </c>
      <c r="AB901" s="355" t="s">
        <v>828</v>
      </c>
      <c r="AC901" s="372" t="s">
        <v>37</v>
      </c>
      <c r="AD901" s="465">
        <f>AD902</f>
        <v>0</v>
      </c>
      <c r="AE901" s="465">
        <f>AE902</f>
        <v>0.1</v>
      </c>
      <c r="AF901" s="473">
        <f t="shared" ref="AF901" si="283">AF902</f>
        <v>0</v>
      </c>
      <c r="AG901" s="478">
        <f t="shared" si="271"/>
        <v>0</v>
      </c>
    </row>
    <row r="902" spans="24:33" s="3" customFormat="1" ht="31.5" x14ac:dyDescent="0.25">
      <c r="X902" s="347" t="s">
        <v>52</v>
      </c>
      <c r="Y902" s="348" t="s">
        <v>442</v>
      </c>
      <c r="Z902" s="349" t="s">
        <v>5</v>
      </c>
      <c r="AA902" s="350" t="s">
        <v>30</v>
      </c>
      <c r="AB902" s="355" t="s">
        <v>828</v>
      </c>
      <c r="AC902" s="372" t="s">
        <v>66</v>
      </c>
      <c r="AD902" s="353">
        <v>0</v>
      </c>
      <c r="AE902" s="353">
        <v>0.1</v>
      </c>
      <c r="AF902" s="468">
        <v>0</v>
      </c>
      <c r="AG902" s="478">
        <f t="shared" si="271"/>
        <v>0</v>
      </c>
    </row>
    <row r="903" spans="24:33" s="3" customFormat="1" ht="35.450000000000003" customHeight="1" x14ac:dyDescent="0.25">
      <c r="X903" s="347" t="s">
        <v>769</v>
      </c>
      <c r="Y903" s="348" t="s">
        <v>442</v>
      </c>
      <c r="Z903" s="349" t="s">
        <v>5</v>
      </c>
      <c r="AA903" s="350" t="s">
        <v>30</v>
      </c>
      <c r="AB903" s="355" t="s">
        <v>770</v>
      </c>
      <c r="AC903" s="372"/>
      <c r="AD903" s="353">
        <f t="shared" ref="AD903:AF904" si="284">AD904</f>
        <v>103038.70000000001</v>
      </c>
      <c r="AE903" s="353">
        <f t="shared" si="284"/>
        <v>103038.70000000001</v>
      </c>
      <c r="AF903" s="468">
        <f t="shared" si="284"/>
        <v>97395.5</v>
      </c>
      <c r="AG903" s="478">
        <f t="shared" si="271"/>
        <v>0.94523222827927744</v>
      </c>
    </row>
    <row r="904" spans="24:33" s="3" customFormat="1" x14ac:dyDescent="0.25">
      <c r="X904" s="347" t="s">
        <v>121</v>
      </c>
      <c r="Y904" s="348" t="s">
        <v>442</v>
      </c>
      <c r="Z904" s="349" t="s">
        <v>5</v>
      </c>
      <c r="AA904" s="350" t="s">
        <v>30</v>
      </c>
      <c r="AB904" s="355" t="s">
        <v>770</v>
      </c>
      <c r="AC904" s="372" t="s">
        <v>37</v>
      </c>
      <c r="AD904" s="353">
        <f t="shared" si="284"/>
        <v>103038.70000000001</v>
      </c>
      <c r="AE904" s="353">
        <f t="shared" si="284"/>
        <v>103038.70000000001</v>
      </c>
      <c r="AF904" s="468">
        <f t="shared" si="284"/>
        <v>97395.5</v>
      </c>
      <c r="AG904" s="478">
        <f t="shared" si="271"/>
        <v>0.94523222827927744</v>
      </c>
    </row>
    <row r="905" spans="24:33" s="3" customFormat="1" ht="31.5" x14ac:dyDescent="0.25">
      <c r="X905" s="347" t="s">
        <v>52</v>
      </c>
      <c r="Y905" s="348" t="s">
        <v>442</v>
      </c>
      <c r="Z905" s="349" t="s">
        <v>5</v>
      </c>
      <c r="AA905" s="350" t="s">
        <v>30</v>
      </c>
      <c r="AB905" s="355" t="s">
        <v>770</v>
      </c>
      <c r="AC905" s="372" t="s">
        <v>66</v>
      </c>
      <c r="AD905" s="353">
        <f>18753.1+84285.6</f>
        <v>103038.70000000001</v>
      </c>
      <c r="AE905" s="353">
        <f>18753.1+84285.6</f>
        <v>103038.70000000001</v>
      </c>
      <c r="AF905" s="468">
        <v>97395.5</v>
      </c>
      <c r="AG905" s="478">
        <f t="shared" si="271"/>
        <v>0.94523222827927744</v>
      </c>
    </row>
    <row r="906" spans="24:33" s="3" customFormat="1" ht="33" customHeight="1" x14ac:dyDescent="0.25">
      <c r="X906" s="347" t="s">
        <v>750</v>
      </c>
      <c r="Y906" s="348" t="s">
        <v>442</v>
      </c>
      <c r="Z906" s="349" t="s">
        <v>5</v>
      </c>
      <c r="AA906" s="350" t="s">
        <v>30</v>
      </c>
      <c r="AB906" s="432" t="s">
        <v>752</v>
      </c>
      <c r="AC906" s="372"/>
      <c r="AD906" s="353">
        <f t="shared" ref="AD906:AF907" si="285">AD907</f>
        <v>22554.6</v>
      </c>
      <c r="AE906" s="353">
        <f t="shared" si="285"/>
        <v>22554.6</v>
      </c>
      <c r="AF906" s="468">
        <f t="shared" si="285"/>
        <v>22387.3</v>
      </c>
      <c r="AG906" s="478">
        <f t="shared" si="271"/>
        <v>0.99258244437941712</v>
      </c>
    </row>
    <row r="907" spans="24:33" s="3" customFormat="1" ht="22.15" customHeight="1" x14ac:dyDescent="0.25">
      <c r="X907" s="347" t="s">
        <v>121</v>
      </c>
      <c r="Y907" s="348" t="s">
        <v>442</v>
      </c>
      <c r="Z907" s="349" t="s">
        <v>5</v>
      </c>
      <c r="AA907" s="350" t="s">
        <v>30</v>
      </c>
      <c r="AB907" s="432" t="s">
        <v>752</v>
      </c>
      <c r="AC907" s="372" t="s">
        <v>37</v>
      </c>
      <c r="AD907" s="353">
        <f t="shared" si="285"/>
        <v>22554.6</v>
      </c>
      <c r="AE907" s="353">
        <f t="shared" si="285"/>
        <v>22554.6</v>
      </c>
      <c r="AF907" s="468">
        <f t="shared" si="285"/>
        <v>22387.3</v>
      </c>
      <c r="AG907" s="478">
        <f t="shared" si="271"/>
        <v>0.99258244437941712</v>
      </c>
    </row>
    <row r="908" spans="24:33" s="3" customFormat="1" ht="33" customHeight="1" x14ac:dyDescent="0.25">
      <c r="X908" s="347" t="s">
        <v>52</v>
      </c>
      <c r="Y908" s="348" t="s">
        <v>442</v>
      </c>
      <c r="Z908" s="349" t="s">
        <v>5</v>
      </c>
      <c r="AA908" s="350" t="s">
        <v>30</v>
      </c>
      <c r="AB908" s="432" t="s">
        <v>752</v>
      </c>
      <c r="AC908" s="372" t="s">
        <v>66</v>
      </c>
      <c r="AD908" s="353">
        <f>12272.4+1012.7+1717.8+1374.4+6177.3</f>
        <v>22554.6</v>
      </c>
      <c r="AE908" s="353">
        <f>12272.4+1012.7+1717.8+1374.4+6177.3</f>
        <v>22554.6</v>
      </c>
      <c r="AF908" s="468">
        <v>22387.3</v>
      </c>
      <c r="AG908" s="478">
        <f t="shared" si="271"/>
        <v>0.99258244437941712</v>
      </c>
    </row>
    <row r="909" spans="24:33" s="3" customFormat="1" x14ac:dyDescent="0.25">
      <c r="X909" s="347" t="s">
        <v>732</v>
      </c>
      <c r="Y909" s="348" t="s">
        <v>442</v>
      </c>
      <c r="Z909" s="349" t="s">
        <v>5</v>
      </c>
      <c r="AA909" s="350" t="s">
        <v>30</v>
      </c>
      <c r="AB909" s="355" t="s">
        <v>733</v>
      </c>
      <c r="AC909" s="372"/>
      <c r="AD909" s="353">
        <f t="shared" ref="AD909:AF910" si="286">AD910</f>
        <v>65163.199999999997</v>
      </c>
      <c r="AE909" s="353">
        <f t="shared" si="286"/>
        <v>60372</v>
      </c>
      <c r="AF909" s="468">
        <f t="shared" si="286"/>
        <v>45081.1</v>
      </c>
      <c r="AG909" s="478">
        <f t="shared" si="271"/>
        <v>0.74672199032664144</v>
      </c>
    </row>
    <row r="910" spans="24:33" s="3" customFormat="1" x14ac:dyDescent="0.25">
      <c r="X910" s="347" t="s">
        <v>121</v>
      </c>
      <c r="Y910" s="348" t="s">
        <v>442</v>
      </c>
      <c r="Z910" s="349" t="s">
        <v>5</v>
      </c>
      <c r="AA910" s="350" t="s">
        <v>30</v>
      </c>
      <c r="AB910" s="355" t="s">
        <v>733</v>
      </c>
      <c r="AC910" s="372" t="s">
        <v>37</v>
      </c>
      <c r="AD910" s="353">
        <f t="shared" si="286"/>
        <v>65163.199999999997</v>
      </c>
      <c r="AE910" s="353">
        <f t="shared" si="286"/>
        <v>60372</v>
      </c>
      <c r="AF910" s="468">
        <f t="shared" si="286"/>
        <v>45081.1</v>
      </c>
      <c r="AG910" s="478">
        <f t="shared" si="271"/>
        <v>0.74672199032664144</v>
      </c>
    </row>
    <row r="911" spans="24:33" s="3" customFormat="1" ht="31.5" x14ac:dyDescent="0.25">
      <c r="X911" s="347" t="s">
        <v>52</v>
      </c>
      <c r="Y911" s="348" t="s">
        <v>442</v>
      </c>
      <c r="Z911" s="349" t="s">
        <v>5</v>
      </c>
      <c r="AA911" s="350" t="s">
        <v>30</v>
      </c>
      <c r="AB911" s="355" t="s">
        <v>733</v>
      </c>
      <c r="AC911" s="372" t="s">
        <v>66</v>
      </c>
      <c r="AD911" s="353">
        <f>41051.9+9133.8+2478.1+11137.9+247.8+1113.7</f>
        <v>65163.199999999997</v>
      </c>
      <c r="AE911" s="353">
        <f>41051.9+9133.8+2478.1+11137.9+247.8+1113.7-5835.7+1916.5-1298.4+426.4</f>
        <v>60372</v>
      </c>
      <c r="AF911" s="468">
        <v>45081.1</v>
      </c>
      <c r="AG911" s="478">
        <f t="shared" si="271"/>
        <v>0.74672199032664144</v>
      </c>
    </row>
    <row r="912" spans="24:33" s="3" customFormat="1" x14ac:dyDescent="0.25">
      <c r="X912" s="354" t="s">
        <v>249</v>
      </c>
      <c r="Y912" s="348" t="s">
        <v>442</v>
      </c>
      <c r="Z912" s="349" t="s">
        <v>5</v>
      </c>
      <c r="AA912" s="350" t="s">
        <v>30</v>
      </c>
      <c r="AB912" s="355" t="s">
        <v>250</v>
      </c>
      <c r="AC912" s="372"/>
      <c r="AD912" s="353">
        <f t="shared" ref="AD912:AE916" si="287">AD913</f>
        <v>311.19999999999993</v>
      </c>
      <c r="AE912" s="353">
        <f t="shared" si="287"/>
        <v>311.10000000000002</v>
      </c>
      <c r="AF912" s="468">
        <f t="shared" ref="AF912:AF916" si="288">AF913</f>
        <v>311.10000000000002</v>
      </c>
      <c r="AG912" s="478">
        <f t="shared" si="271"/>
        <v>1</v>
      </c>
    </row>
    <row r="913" spans="24:33" s="3" customFormat="1" ht="31.5" x14ac:dyDescent="0.25">
      <c r="X913" s="354" t="s">
        <v>579</v>
      </c>
      <c r="Y913" s="348" t="s">
        <v>442</v>
      </c>
      <c r="Z913" s="349" t="s">
        <v>5</v>
      </c>
      <c r="AA913" s="350" t="s">
        <v>30</v>
      </c>
      <c r="AB913" s="355" t="s">
        <v>251</v>
      </c>
      <c r="AC913" s="372"/>
      <c r="AD913" s="353">
        <f t="shared" si="287"/>
        <v>311.19999999999993</v>
      </c>
      <c r="AE913" s="353">
        <f t="shared" si="287"/>
        <v>311.10000000000002</v>
      </c>
      <c r="AF913" s="468">
        <f t="shared" si="288"/>
        <v>311.10000000000002</v>
      </c>
      <c r="AG913" s="478">
        <f t="shared" si="271"/>
        <v>1</v>
      </c>
    </row>
    <row r="914" spans="24:33" s="3" customFormat="1" ht="31.5" x14ac:dyDescent="0.25">
      <c r="X914" s="368" t="s">
        <v>580</v>
      </c>
      <c r="Y914" s="348" t="s">
        <v>442</v>
      </c>
      <c r="Z914" s="349" t="s">
        <v>5</v>
      </c>
      <c r="AA914" s="350" t="s">
        <v>30</v>
      </c>
      <c r="AB914" s="355" t="s">
        <v>252</v>
      </c>
      <c r="AC914" s="372"/>
      <c r="AD914" s="353">
        <f t="shared" si="287"/>
        <v>311.19999999999993</v>
      </c>
      <c r="AE914" s="353">
        <f t="shared" si="287"/>
        <v>311.10000000000002</v>
      </c>
      <c r="AF914" s="468">
        <f t="shared" si="288"/>
        <v>311.10000000000002</v>
      </c>
      <c r="AG914" s="478">
        <f t="shared" si="271"/>
        <v>1</v>
      </c>
    </row>
    <row r="915" spans="24:33" s="3" customFormat="1" x14ac:dyDescent="0.25">
      <c r="X915" s="347" t="s">
        <v>780</v>
      </c>
      <c r="Y915" s="348" t="s">
        <v>442</v>
      </c>
      <c r="Z915" s="349" t="s">
        <v>5</v>
      </c>
      <c r="AA915" s="350" t="s">
        <v>30</v>
      </c>
      <c r="AB915" s="355" t="s">
        <v>781</v>
      </c>
      <c r="AC915" s="372"/>
      <c r="AD915" s="353">
        <f t="shared" si="287"/>
        <v>311.19999999999993</v>
      </c>
      <c r="AE915" s="353">
        <f t="shared" si="287"/>
        <v>311.10000000000002</v>
      </c>
      <c r="AF915" s="468">
        <f t="shared" si="288"/>
        <v>311.10000000000002</v>
      </c>
      <c r="AG915" s="478">
        <f t="shared" si="271"/>
        <v>1</v>
      </c>
    </row>
    <row r="916" spans="24:33" s="3" customFormat="1" x14ac:dyDescent="0.25">
      <c r="X916" s="347" t="s">
        <v>121</v>
      </c>
      <c r="Y916" s="348" t="s">
        <v>442</v>
      </c>
      <c r="Z916" s="349" t="s">
        <v>5</v>
      </c>
      <c r="AA916" s="350" t="s">
        <v>30</v>
      </c>
      <c r="AB916" s="355" t="s">
        <v>781</v>
      </c>
      <c r="AC916" s="372" t="s">
        <v>37</v>
      </c>
      <c r="AD916" s="353">
        <f t="shared" si="287"/>
        <v>311.19999999999993</v>
      </c>
      <c r="AE916" s="353">
        <f t="shared" si="287"/>
        <v>311.10000000000002</v>
      </c>
      <c r="AF916" s="468">
        <f t="shared" si="288"/>
        <v>311.10000000000002</v>
      </c>
      <c r="AG916" s="478">
        <f t="shared" si="271"/>
        <v>1</v>
      </c>
    </row>
    <row r="917" spans="24:33" s="3" customFormat="1" ht="31.5" x14ac:dyDescent="0.25">
      <c r="X917" s="347" t="s">
        <v>52</v>
      </c>
      <c r="Y917" s="348" t="s">
        <v>442</v>
      </c>
      <c r="Z917" s="349" t="s">
        <v>5</v>
      </c>
      <c r="AA917" s="350" t="s">
        <v>30</v>
      </c>
      <c r="AB917" s="355" t="s">
        <v>781</v>
      </c>
      <c r="AC917" s="372" t="s">
        <v>66</v>
      </c>
      <c r="AD917" s="353">
        <f>72+323.4-15.3-68.9</f>
        <v>311.19999999999993</v>
      </c>
      <c r="AE917" s="353">
        <v>311.10000000000002</v>
      </c>
      <c r="AF917" s="468">
        <v>311.10000000000002</v>
      </c>
      <c r="AG917" s="478">
        <f t="shared" si="271"/>
        <v>1</v>
      </c>
    </row>
    <row r="918" spans="24:33" s="3" customFormat="1" ht="23.45" customHeight="1" x14ac:dyDescent="0.25">
      <c r="X918" s="347" t="s">
        <v>18</v>
      </c>
      <c r="Y918" s="348" t="s">
        <v>442</v>
      </c>
      <c r="Z918" s="349" t="s">
        <v>5</v>
      </c>
      <c r="AA918" s="350" t="s">
        <v>7</v>
      </c>
      <c r="AB918" s="351"/>
      <c r="AC918" s="372"/>
      <c r="AD918" s="353">
        <f>AD925+AD919</f>
        <v>886023.60000000009</v>
      </c>
      <c r="AE918" s="353">
        <f t="shared" ref="AE918:AF918" si="289">AE925+AE919</f>
        <v>886023.5</v>
      </c>
      <c r="AF918" s="353">
        <f t="shared" si="289"/>
        <v>867152.60000000009</v>
      </c>
      <c r="AG918" s="478">
        <f t="shared" si="271"/>
        <v>0.97870158071428137</v>
      </c>
    </row>
    <row r="919" spans="24:33" s="3" customFormat="1" ht="23.45" customHeight="1" x14ac:dyDescent="0.25">
      <c r="X919" s="364" t="s">
        <v>256</v>
      </c>
      <c r="Y919" s="348" t="s">
        <v>442</v>
      </c>
      <c r="Z919" s="395" t="s">
        <v>5</v>
      </c>
      <c r="AA919" s="350" t="s">
        <v>7</v>
      </c>
      <c r="AB919" s="396" t="s">
        <v>257</v>
      </c>
      <c r="AC919" s="397"/>
      <c r="AD919" s="353">
        <f t="shared" ref="AD919:AE923" si="290">AD920</f>
        <v>2920</v>
      </c>
      <c r="AE919" s="353">
        <f t="shared" si="290"/>
        <v>2920</v>
      </c>
      <c r="AF919" s="468">
        <f t="shared" ref="AF919:AF923" si="291">AF920</f>
        <v>2920</v>
      </c>
      <c r="AG919" s="478">
        <f t="shared" si="271"/>
        <v>1</v>
      </c>
    </row>
    <row r="920" spans="24:33" s="3" customFormat="1" ht="23.45" customHeight="1" x14ac:dyDescent="0.25">
      <c r="X920" s="364" t="s">
        <v>406</v>
      </c>
      <c r="Y920" s="348" t="s">
        <v>442</v>
      </c>
      <c r="Z920" s="395" t="s">
        <v>5</v>
      </c>
      <c r="AA920" s="350" t="s">
        <v>7</v>
      </c>
      <c r="AB920" s="396" t="s">
        <v>258</v>
      </c>
      <c r="AC920" s="398"/>
      <c r="AD920" s="353">
        <f t="shared" si="290"/>
        <v>2920</v>
      </c>
      <c r="AE920" s="353">
        <f t="shared" si="290"/>
        <v>2920</v>
      </c>
      <c r="AF920" s="468">
        <f t="shared" si="291"/>
        <v>2920</v>
      </c>
      <c r="AG920" s="478">
        <f t="shared" si="271"/>
        <v>1</v>
      </c>
    </row>
    <row r="921" spans="24:33" s="3" customFormat="1" ht="42.6" customHeight="1" x14ac:dyDescent="0.25">
      <c r="X921" s="364" t="s">
        <v>681</v>
      </c>
      <c r="Y921" s="348" t="s">
        <v>442</v>
      </c>
      <c r="Z921" s="395" t="s">
        <v>5</v>
      </c>
      <c r="AA921" s="350" t="s">
        <v>7</v>
      </c>
      <c r="AB921" s="396" t="s">
        <v>678</v>
      </c>
      <c r="AC921" s="399"/>
      <c r="AD921" s="353">
        <f t="shared" si="290"/>
        <v>2920</v>
      </c>
      <c r="AE921" s="353">
        <f t="shared" si="290"/>
        <v>2920</v>
      </c>
      <c r="AF921" s="468">
        <f t="shared" si="291"/>
        <v>2920</v>
      </c>
      <c r="AG921" s="478">
        <f t="shared" si="271"/>
        <v>1</v>
      </c>
    </row>
    <row r="922" spans="24:33" s="3" customFormat="1" ht="39.6" customHeight="1" x14ac:dyDescent="0.25">
      <c r="X922" s="356" t="s">
        <v>680</v>
      </c>
      <c r="Y922" s="348" t="s">
        <v>442</v>
      </c>
      <c r="Z922" s="395" t="s">
        <v>5</v>
      </c>
      <c r="AA922" s="350" t="s">
        <v>7</v>
      </c>
      <c r="AB922" s="396" t="s">
        <v>679</v>
      </c>
      <c r="AC922" s="399"/>
      <c r="AD922" s="353">
        <f t="shared" si="290"/>
        <v>2920</v>
      </c>
      <c r="AE922" s="353">
        <f t="shared" si="290"/>
        <v>2920</v>
      </c>
      <c r="AF922" s="468">
        <f t="shared" si="291"/>
        <v>2920</v>
      </c>
      <c r="AG922" s="478">
        <f t="shared" si="271"/>
        <v>1</v>
      </c>
    </row>
    <row r="923" spans="24:33" s="3" customFormat="1" ht="23.45" customHeight="1" x14ac:dyDescent="0.25">
      <c r="X923" s="366" t="s">
        <v>121</v>
      </c>
      <c r="Y923" s="348" t="s">
        <v>442</v>
      </c>
      <c r="Z923" s="395" t="s">
        <v>5</v>
      </c>
      <c r="AA923" s="350" t="s">
        <v>7</v>
      </c>
      <c r="AB923" s="396" t="s">
        <v>679</v>
      </c>
      <c r="AC923" s="399">
        <v>200</v>
      </c>
      <c r="AD923" s="353">
        <f t="shared" si="290"/>
        <v>2920</v>
      </c>
      <c r="AE923" s="353">
        <f t="shared" si="290"/>
        <v>2920</v>
      </c>
      <c r="AF923" s="468">
        <f t="shared" si="291"/>
        <v>2920</v>
      </c>
      <c r="AG923" s="478">
        <f t="shared" si="271"/>
        <v>1</v>
      </c>
    </row>
    <row r="924" spans="24:33" s="3" customFormat="1" ht="23.45" customHeight="1" x14ac:dyDescent="0.25">
      <c r="X924" s="366" t="s">
        <v>52</v>
      </c>
      <c r="Y924" s="348" t="s">
        <v>442</v>
      </c>
      <c r="Z924" s="395" t="s">
        <v>5</v>
      </c>
      <c r="AA924" s="350" t="s">
        <v>7</v>
      </c>
      <c r="AB924" s="396" t="s">
        <v>679</v>
      </c>
      <c r="AC924" s="399">
        <v>240</v>
      </c>
      <c r="AD924" s="353">
        <f>5000-2080</f>
        <v>2920</v>
      </c>
      <c r="AE924" s="353">
        <f>5000-2080</f>
        <v>2920</v>
      </c>
      <c r="AF924" s="468">
        <v>2920</v>
      </c>
      <c r="AG924" s="478">
        <f t="shared" si="271"/>
        <v>1</v>
      </c>
    </row>
    <row r="925" spans="24:33" s="3" customFormat="1" x14ac:dyDescent="0.25">
      <c r="X925" s="354" t="s">
        <v>249</v>
      </c>
      <c r="Y925" s="348" t="s">
        <v>442</v>
      </c>
      <c r="Z925" s="349" t="s">
        <v>5</v>
      </c>
      <c r="AA925" s="350" t="s">
        <v>7</v>
      </c>
      <c r="AB925" s="355" t="s">
        <v>250</v>
      </c>
      <c r="AC925" s="372"/>
      <c r="AD925" s="353">
        <f>AD944+AD926</f>
        <v>883103.60000000009</v>
      </c>
      <c r="AE925" s="353">
        <f>AE944+AE926</f>
        <v>883103.5</v>
      </c>
      <c r="AF925" s="353">
        <f>AF944+AF926</f>
        <v>864232.60000000009</v>
      </c>
      <c r="AG925" s="478">
        <f t="shared" si="271"/>
        <v>0.97863115705010806</v>
      </c>
    </row>
    <row r="926" spans="24:33" s="3" customFormat="1" x14ac:dyDescent="0.25">
      <c r="X926" s="354" t="s">
        <v>389</v>
      </c>
      <c r="Y926" s="348" t="s">
        <v>442</v>
      </c>
      <c r="Z926" s="349" t="s">
        <v>5</v>
      </c>
      <c r="AA926" s="350" t="s">
        <v>7</v>
      </c>
      <c r="AB926" s="355" t="s">
        <v>390</v>
      </c>
      <c r="AC926" s="372"/>
      <c r="AD926" s="353">
        <f>AD927+AD940</f>
        <v>753287.3</v>
      </c>
      <c r="AE926" s="353">
        <f>AE927+AE940</f>
        <v>753287.2</v>
      </c>
      <c r="AF926" s="468">
        <f>AF927+AF940</f>
        <v>743683.70000000007</v>
      </c>
      <c r="AG926" s="478">
        <f t="shared" si="271"/>
        <v>0.98725121042810782</v>
      </c>
    </row>
    <row r="927" spans="24:33" s="3" customFormat="1" ht="31.5" x14ac:dyDescent="0.25">
      <c r="X927" s="354" t="s">
        <v>418</v>
      </c>
      <c r="Y927" s="348" t="s">
        <v>442</v>
      </c>
      <c r="Z927" s="349" t="s">
        <v>5</v>
      </c>
      <c r="AA927" s="350" t="s">
        <v>7</v>
      </c>
      <c r="AB927" s="355" t="s">
        <v>419</v>
      </c>
      <c r="AC927" s="372"/>
      <c r="AD927" s="353">
        <f>AD934+AD937+AD928+AD931</f>
        <v>448293.2</v>
      </c>
      <c r="AE927" s="353">
        <f>AE934+AE937+AE928+AE931</f>
        <v>448293.10000000003</v>
      </c>
      <c r="AF927" s="468">
        <f>AF934+AF937+AF928+AF931</f>
        <v>448168.00000000006</v>
      </c>
      <c r="AG927" s="478">
        <f t="shared" si="271"/>
        <v>0.99972094150010349</v>
      </c>
    </row>
    <row r="928" spans="24:33" s="3" customFormat="1" ht="35.450000000000003" customHeight="1" x14ac:dyDescent="0.25">
      <c r="X928" s="354" t="s">
        <v>654</v>
      </c>
      <c r="Y928" s="348" t="s">
        <v>442</v>
      </c>
      <c r="Z928" s="349" t="s">
        <v>5</v>
      </c>
      <c r="AA928" s="350" t="s">
        <v>7</v>
      </c>
      <c r="AB928" s="355" t="s">
        <v>655</v>
      </c>
      <c r="AC928" s="372"/>
      <c r="AD928" s="353">
        <f t="shared" ref="AD928:AF929" si="292">AD929</f>
        <v>200</v>
      </c>
      <c r="AE928" s="353">
        <f t="shared" si="292"/>
        <v>200</v>
      </c>
      <c r="AF928" s="468">
        <f t="shared" si="292"/>
        <v>122.7</v>
      </c>
      <c r="AG928" s="478">
        <f t="shared" ref="AG928:AG988" si="293">AF928/AE928</f>
        <v>0.61350000000000005</v>
      </c>
    </row>
    <row r="929" spans="24:33" s="3" customFormat="1" x14ac:dyDescent="0.25">
      <c r="X929" s="347" t="s">
        <v>121</v>
      </c>
      <c r="Y929" s="348" t="s">
        <v>442</v>
      </c>
      <c r="Z929" s="349" t="s">
        <v>5</v>
      </c>
      <c r="AA929" s="350" t="s">
        <v>7</v>
      </c>
      <c r="AB929" s="355" t="s">
        <v>655</v>
      </c>
      <c r="AC929" s="372" t="s">
        <v>37</v>
      </c>
      <c r="AD929" s="353">
        <f t="shared" si="292"/>
        <v>200</v>
      </c>
      <c r="AE929" s="353">
        <f t="shared" si="292"/>
        <v>200</v>
      </c>
      <c r="AF929" s="468">
        <f t="shared" si="292"/>
        <v>122.7</v>
      </c>
      <c r="AG929" s="478">
        <f t="shared" si="293"/>
        <v>0.61350000000000005</v>
      </c>
    </row>
    <row r="930" spans="24:33" s="3" customFormat="1" ht="31.5" x14ac:dyDescent="0.25">
      <c r="X930" s="347" t="s">
        <v>52</v>
      </c>
      <c r="Y930" s="348" t="s">
        <v>442</v>
      </c>
      <c r="Z930" s="349" t="s">
        <v>5</v>
      </c>
      <c r="AA930" s="350" t="s">
        <v>7</v>
      </c>
      <c r="AB930" s="355" t="s">
        <v>655</v>
      </c>
      <c r="AC930" s="372" t="s">
        <v>66</v>
      </c>
      <c r="AD930" s="353">
        <f>200+25000-1479-23521</f>
        <v>200</v>
      </c>
      <c r="AE930" s="353">
        <f>200+25000-1479-23521</f>
        <v>200</v>
      </c>
      <c r="AF930" s="468">
        <v>122.7</v>
      </c>
      <c r="AG930" s="478">
        <f t="shared" si="293"/>
        <v>0.61350000000000005</v>
      </c>
    </row>
    <row r="931" spans="24:33" s="3" customFormat="1" x14ac:dyDescent="0.25">
      <c r="X931" s="347" t="s">
        <v>656</v>
      </c>
      <c r="Y931" s="348" t="s">
        <v>442</v>
      </c>
      <c r="Z931" s="349" t="s">
        <v>5</v>
      </c>
      <c r="AA931" s="350" t="s">
        <v>7</v>
      </c>
      <c r="AB931" s="355" t="s">
        <v>657</v>
      </c>
      <c r="AC931" s="372"/>
      <c r="AD931" s="353">
        <f t="shared" ref="AD931:AF932" si="294">AD932</f>
        <v>605</v>
      </c>
      <c r="AE931" s="353">
        <f t="shared" si="294"/>
        <v>605</v>
      </c>
      <c r="AF931" s="468">
        <f t="shared" si="294"/>
        <v>605</v>
      </c>
      <c r="AG931" s="478">
        <f t="shared" si="293"/>
        <v>1</v>
      </c>
    </row>
    <row r="932" spans="24:33" s="3" customFormat="1" x14ac:dyDescent="0.25">
      <c r="X932" s="347" t="s">
        <v>121</v>
      </c>
      <c r="Y932" s="348" t="s">
        <v>442</v>
      </c>
      <c r="Z932" s="349" t="s">
        <v>5</v>
      </c>
      <c r="AA932" s="350" t="s">
        <v>7</v>
      </c>
      <c r="AB932" s="355" t="s">
        <v>657</v>
      </c>
      <c r="AC932" s="372" t="s">
        <v>37</v>
      </c>
      <c r="AD932" s="353">
        <f t="shared" si="294"/>
        <v>605</v>
      </c>
      <c r="AE932" s="353">
        <f t="shared" si="294"/>
        <v>605</v>
      </c>
      <c r="AF932" s="468">
        <f t="shared" si="294"/>
        <v>605</v>
      </c>
      <c r="AG932" s="478">
        <f t="shared" si="293"/>
        <v>1</v>
      </c>
    </row>
    <row r="933" spans="24:33" s="3" customFormat="1" ht="31.5" x14ac:dyDescent="0.25">
      <c r="X933" s="347" t="s">
        <v>52</v>
      </c>
      <c r="Y933" s="348" t="s">
        <v>442</v>
      </c>
      <c r="Z933" s="349" t="s">
        <v>5</v>
      </c>
      <c r="AA933" s="350" t="s">
        <v>7</v>
      </c>
      <c r="AB933" s="355" t="s">
        <v>657</v>
      </c>
      <c r="AC933" s="372" t="s">
        <v>66</v>
      </c>
      <c r="AD933" s="353">
        <v>605</v>
      </c>
      <c r="AE933" s="353">
        <v>605</v>
      </c>
      <c r="AF933" s="468">
        <v>605</v>
      </c>
      <c r="AG933" s="478">
        <f t="shared" si="293"/>
        <v>1</v>
      </c>
    </row>
    <row r="934" spans="24:33" s="3" customFormat="1" x14ac:dyDescent="0.25">
      <c r="X934" s="368" t="s">
        <v>464</v>
      </c>
      <c r="Y934" s="348" t="s">
        <v>442</v>
      </c>
      <c r="Z934" s="349" t="s">
        <v>5</v>
      </c>
      <c r="AA934" s="350" t="s">
        <v>7</v>
      </c>
      <c r="AB934" s="355" t="s">
        <v>674</v>
      </c>
      <c r="AC934" s="372"/>
      <c r="AD934" s="353">
        <f t="shared" ref="AD934:AF935" si="295">AD935</f>
        <v>5171.7</v>
      </c>
      <c r="AE934" s="353">
        <f t="shared" si="295"/>
        <v>5171.7</v>
      </c>
      <c r="AF934" s="468">
        <f t="shared" si="295"/>
        <v>5123.8999999999996</v>
      </c>
      <c r="AG934" s="478">
        <f t="shared" si="293"/>
        <v>0.9907573911866504</v>
      </c>
    </row>
    <row r="935" spans="24:33" s="3" customFormat="1" x14ac:dyDescent="0.25">
      <c r="X935" s="347" t="s">
        <v>121</v>
      </c>
      <c r="Y935" s="348" t="s">
        <v>442</v>
      </c>
      <c r="Z935" s="349" t="s">
        <v>5</v>
      </c>
      <c r="AA935" s="350" t="s">
        <v>7</v>
      </c>
      <c r="AB935" s="355" t="s">
        <v>674</v>
      </c>
      <c r="AC935" s="372" t="s">
        <v>37</v>
      </c>
      <c r="AD935" s="353">
        <f t="shared" si="295"/>
        <v>5171.7</v>
      </c>
      <c r="AE935" s="353">
        <f t="shared" si="295"/>
        <v>5171.7</v>
      </c>
      <c r="AF935" s="468">
        <f t="shared" si="295"/>
        <v>5123.8999999999996</v>
      </c>
      <c r="AG935" s="478">
        <f t="shared" si="293"/>
        <v>0.9907573911866504</v>
      </c>
    </row>
    <row r="936" spans="24:33" s="3" customFormat="1" ht="31.5" x14ac:dyDescent="0.25">
      <c r="X936" s="347" t="s">
        <v>52</v>
      </c>
      <c r="Y936" s="348" t="s">
        <v>442</v>
      </c>
      <c r="Z936" s="349" t="s">
        <v>5</v>
      </c>
      <c r="AA936" s="350" t="s">
        <v>7</v>
      </c>
      <c r="AB936" s="355" t="s">
        <v>674</v>
      </c>
      <c r="AC936" s="372" t="s">
        <v>66</v>
      </c>
      <c r="AD936" s="353">
        <f>5171.7</f>
        <v>5171.7</v>
      </c>
      <c r="AE936" s="353">
        <f>5171.7</f>
        <v>5171.7</v>
      </c>
      <c r="AF936" s="468">
        <v>5123.8999999999996</v>
      </c>
      <c r="AG936" s="478">
        <f t="shared" si="293"/>
        <v>0.9907573911866504</v>
      </c>
    </row>
    <row r="937" spans="24:33" s="3" customFormat="1" x14ac:dyDescent="0.25">
      <c r="X937" s="347" t="s">
        <v>422</v>
      </c>
      <c r="Y937" s="348" t="s">
        <v>442</v>
      </c>
      <c r="Z937" s="349" t="s">
        <v>5</v>
      </c>
      <c r="AA937" s="350" t="s">
        <v>7</v>
      </c>
      <c r="AB937" s="355" t="s">
        <v>423</v>
      </c>
      <c r="AC937" s="372"/>
      <c r="AD937" s="353">
        <f t="shared" ref="AD937:AF938" si="296">AD938</f>
        <v>442316.5</v>
      </c>
      <c r="AE937" s="353">
        <f t="shared" si="296"/>
        <v>442316.4</v>
      </c>
      <c r="AF937" s="468">
        <f t="shared" si="296"/>
        <v>442316.4</v>
      </c>
      <c r="AG937" s="478">
        <f t="shared" si="293"/>
        <v>1</v>
      </c>
    </row>
    <row r="938" spans="24:33" s="3" customFormat="1" x14ac:dyDescent="0.25">
      <c r="X938" s="347" t="s">
        <v>121</v>
      </c>
      <c r="Y938" s="348" t="s">
        <v>442</v>
      </c>
      <c r="Z938" s="349" t="s">
        <v>5</v>
      </c>
      <c r="AA938" s="350" t="s">
        <v>7</v>
      </c>
      <c r="AB938" s="355" t="s">
        <v>423</v>
      </c>
      <c r="AC938" s="372" t="s">
        <v>37</v>
      </c>
      <c r="AD938" s="353">
        <f t="shared" si="296"/>
        <v>442316.5</v>
      </c>
      <c r="AE938" s="353">
        <f t="shared" si="296"/>
        <v>442316.4</v>
      </c>
      <c r="AF938" s="468">
        <f t="shared" si="296"/>
        <v>442316.4</v>
      </c>
      <c r="AG938" s="478">
        <f t="shared" si="293"/>
        <v>1</v>
      </c>
    </row>
    <row r="939" spans="24:33" s="3" customFormat="1" ht="31.5" x14ac:dyDescent="0.25">
      <c r="X939" s="347" t="s">
        <v>52</v>
      </c>
      <c r="Y939" s="348" t="s">
        <v>442</v>
      </c>
      <c r="Z939" s="349" t="s">
        <v>5</v>
      </c>
      <c r="AA939" s="350" t="s">
        <v>7</v>
      </c>
      <c r="AB939" s="355" t="s">
        <v>423</v>
      </c>
      <c r="AC939" s="372" t="s">
        <v>66</v>
      </c>
      <c r="AD939" s="353">
        <f>368007.3+74309.2</f>
        <v>442316.5</v>
      </c>
      <c r="AE939" s="353">
        <f>368007.3+74309.2-0.1</f>
        <v>442316.4</v>
      </c>
      <c r="AF939" s="468">
        <v>442316.4</v>
      </c>
      <c r="AG939" s="478">
        <f t="shared" si="293"/>
        <v>1</v>
      </c>
    </row>
    <row r="940" spans="24:33" s="3" customFormat="1" x14ac:dyDescent="0.25">
      <c r="X940" s="368" t="s">
        <v>391</v>
      </c>
      <c r="Y940" s="348" t="s">
        <v>442</v>
      </c>
      <c r="Z940" s="349" t="s">
        <v>5</v>
      </c>
      <c r="AA940" s="350" t="s">
        <v>7</v>
      </c>
      <c r="AB940" s="355" t="s">
        <v>392</v>
      </c>
      <c r="AC940" s="372"/>
      <c r="AD940" s="353">
        <f>AD941</f>
        <v>304994.09999999998</v>
      </c>
      <c r="AE940" s="353">
        <f t="shared" ref="AE940:AF940" si="297">AE941</f>
        <v>304994.09999999998</v>
      </c>
      <c r="AF940" s="353">
        <f t="shared" si="297"/>
        <v>295515.7</v>
      </c>
      <c r="AG940" s="478">
        <f t="shared" si="293"/>
        <v>0.9689226775206472</v>
      </c>
    </row>
    <row r="941" spans="24:33" s="3" customFormat="1" ht="31.5" x14ac:dyDescent="0.25">
      <c r="X941" s="405" t="s">
        <v>683</v>
      </c>
      <c r="Y941" s="348" t="s">
        <v>442</v>
      </c>
      <c r="Z941" s="349" t="s">
        <v>5</v>
      </c>
      <c r="AA941" s="350" t="s">
        <v>7</v>
      </c>
      <c r="AB941" s="355" t="s">
        <v>684</v>
      </c>
      <c r="AC941" s="372"/>
      <c r="AD941" s="353">
        <f t="shared" ref="AD941:AF942" si="298">AD942</f>
        <v>304994.09999999998</v>
      </c>
      <c r="AE941" s="353">
        <f t="shared" si="298"/>
        <v>304994.09999999998</v>
      </c>
      <c r="AF941" s="468">
        <f t="shared" si="298"/>
        <v>295515.7</v>
      </c>
      <c r="AG941" s="478">
        <f t="shared" si="293"/>
        <v>0.9689226775206472</v>
      </c>
    </row>
    <row r="942" spans="24:33" s="3" customFormat="1" x14ac:dyDescent="0.25">
      <c r="X942" s="347" t="s">
        <v>121</v>
      </c>
      <c r="Y942" s="348" t="s">
        <v>442</v>
      </c>
      <c r="Z942" s="349" t="s">
        <v>5</v>
      </c>
      <c r="AA942" s="350" t="s">
        <v>7</v>
      </c>
      <c r="AB942" s="355" t="s">
        <v>684</v>
      </c>
      <c r="AC942" s="372" t="s">
        <v>37</v>
      </c>
      <c r="AD942" s="353">
        <f t="shared" si="298"/>
        <v>304994.09999999998</v>
      </c>
      <c r="AE942" s="353">
        <f t="shared" si="298"/>
        <v>304994.09999999998</v>
      </c>
      <c r="AF942" s="468">
        <f t="shared" si="298"/>
        <v>295515.7</v>
      </c>
      <c r="AG942" s="478">
        <f t="shared" si="293"/>
        <v>0.9689226775206472</v>
      </c>
    </row>
    <row r="943" spans="24:33" s="3" customFormat="1" ht="31.5" x14ac:dyDescent="0.25">
      <c r="X943" s="347" t="s">
        <v>52</v>
      </c>
      <c r="Y943" s="348" t="s">
        <v>442</v>
      </c>
      <c r="Z943" s="349" t="s">
        <v>5</v>
      </c>
      <c r="AA943" s="350" t="s">
        <v>7</v>
      </c>
      <c r="AB943" s="355" t="s">
        <v>684</v>
      </c>
      <c r="AC943" s="372" t="s">
        <v>66</v>
      </c>
      <c r="AD943" s="353">
        <f>226896.8+50483.1+4280.8+19240.2+3348.2+745</f>
        <v>304994.09999999998</v>
      </c>
      <c r="AE943" s="353">
        <f>226896.8+50483.1+4280.8+19240.2+3348.2+745</f>
        <v>304994.09999999998</v>
      </c>
      <c r="AF943" s="468">
        <v>295515.7</v>
      </c>
      <c r="AG943" s="478">
        <f t="shared" si="293"/>
        <v>0.9689226775206472</v>
      </c>
    </row>
    <row r="944" spans="24:33" s="3" customFormat="1" ht="39.6" customHeight="1" x14ac:dyDescent="0.25">
      <c r="X944" s="354" t="s">
        <v>579</v>
      </c>
      <c r="Y944" s="348" t="s">
        <v>442</v>
      </c>
      <c r="Z944" s="349" t="s">
        <v>5</v>
      </c>
      <c r="AA944" s="350" t="s">
        <v>7</v>
      </c>
      <c r="AB944" s="355" t="s">
        <v>251</v>
      </c>
      <c r="AC944" s="372"/>
      <c r="AD944" s="353">
        <f>AD945</f>
        <v>129816.29999999999</v>
      </c>
      <c r="AE944" s="353">
        <f t="shared" ref="AE944:AF944" si="299">AE945</f>
        <v>129816.29999999999</v>
      </c>
      <c r="AF944" s="353">
        <f t="shared" si="299"/>
        <v>120548.9</v>
      </c>
      <c r="AG944" s="478">
        <f t="shared" si="293"/>
        <v>0.92861143015168357</v>
      </c>
    </row>
    <row r="945" spans="24:34" s="3" customFormat="1" ht="31.5" x14ac:dyDescent="0.25">
      <c r="X945" s="368" t="s">
        <v>580</v>
      </c>
      <c r="Y945" s="348" t="s">
        <v>442</v>
      </c>
      <c r="Z945" s="349" t="s">
        <v>5</v>
      </c>
      <c r="AA945" s="350" t="s">
        <v>7</v>
      </c>
      <c r="AB945" s="355" t="s">
        <v>252</v>
      </c>
      <c r="AC945" s="357"/>
      <c r="AD945" s="353">
        <f>AD950+AD953+AD965+AD962+AD959+AD956+AD946</f>
        <v>129816.29999999999</v>
      </c>
      <c r="AE945" s="353">
        <f t="shared" ref="AE945:AF945" si="300">AE950+AE953+AE965+AE962+AE959+AE956+AE946</f>
        <v>129816.29999999999</v>
      </c>
      <c r="AF945" s="353">
        <f t="shared" si="300"/>
        <v>120548.9</v>
      </c>
      <c r="AG945" s="478">
        <f t="shared" si="293"/>
        <v>0.92861143015168357</v>
      </c>
    </row>
    <row r="946" spans="24:34" s="3" customFormat="1" x14ac:dyDescent="0.25">
      <c r="X946" s="368" t="s">
        <v>710</v>
      </c>
      <c r="Y946" s="348" t="s">
        <v>442</v>
      </c>
      <c r="Z946" s="349" t="s">
        <v>5</v>
      </c>
      <c r="AA946" s="350" t="s">
        <v>7</v>
      </c>
      <c r="AB946" s="355" t="s">
        <v>711</v>
      </c>
      <c r="AC946" s="357"/>
      <c r="AD946" s="353">
        <f t="shared" ref="AD946:AE948" si="301">AD947</f>
        <v>1828.5</v>
      </c>
      <c r="AE946" s="353">
        <f t="shared" si="301"/>
        <v>1828.5</v>
      </c>
      <c r="AF946" s="468">
        <f t="shared" ref="AF946:AF948" si="302">AF947</f>
        <v>1759</v>
      </c>
      <c r="AG946" s="478">
        <f t="shared" si="293"/>
        <v>0.96199070276182663</v>
      </c>
    </row>
    <row r="947" spans="24:34" s="3" customFormat="1" x14ac:dyDescent="0.25">
      <c r="X947" s="368" t="s">
        <v>712</v>
      </c>
      <c r="Y947" s="348" t="s">
        <v>442</v>
      </c>
      <c r="Z947" s="349" t="s">
        <v>5</v>
      </c>
      <c r="AA947" s="350" t="s">
        <v>7</v>
      </c>
      <c r="AB947" s="355" t="s">
        <v>713</v>
      </c>
      <c r="AC947" s="357"/>
      <c r="AD947" s="353">
        <f t="shared" si="301"/>
        <v>1828.5</v>
      </c>
      <c r="AE947" s="353">
        <f t="shared" si="301"/>
        <v>1828.5</v>
      </c>
      <c r="AF947" s="468">
        <f t="shared" si="302"/>
        <v>1759</v>
      </c>
      <c r="AG947" s="478">
        <f t="shared" si="293"/>
        <v>0.96199070276182663</v>
      </c>
    </row>
    <row r="948" spans="24:34" s="3" customFormat="1" x14ac:dyDescent="0.25">
      <c r="X948" s="347" t="s">
        <v>121</v>
      </c>
      <c r="Y948" s="348" t="s">
        <v>442</v>
      </c>
      <c r="Z948" s="349" t="s">
        <v>5</v>
      </c>
      <c r="AA948" s="350" t="s">
        <v>7</v>
      </c>
      <c r="AB948" s="355" t="s">
        <v>713</v>
      </c>
      <c r="AC948" s="352">
        <v>200</v>
      </c>
      <c r="AD948" s="353">
        <f t="shared" si="301"/>
        <v>1828.5</v>
      </c>
      <c r="AE948" s="353">
        <f t="shared" si="301"/>
        <v>1828.5</v>
      </c>
      <c r="AF948" s="468">
        <f t="shared" si="302"/>
        <v>1759</v>
      </c>
      <c r="AG948" s="478">
        <f t="shared" si="293"/>
        <v>0.96199070276182663</v>
      </c>
    </row>
    <row r="949" spans="24:34" s="3" customFormat="1" ht="31.5" x14ac:dyDescent="0.25">
      <c r="X949" s="347" t="s">
        <v>52</v>
      </c>
      <c r="Y949" s="348" t="s">
        <v>442</v>
      </c>
      <c r="Z949" s="349" t="s">
        <v>5</v>
      </c>
      <c r="AA949" s="350" t="s">
        <v>7</v>
      </c>
      <c r="AB949" s="355" t="s">
        <v>713</v>
      </c>
      <c r="AC949" s="357">
        <v>240</v>
      </c>
      <c r="AD949" s="353">
        <f>28578-28578+628+1000-999.5+1200</f>
        <v>1828.5</v>
      </c>
      <c r="AE949" s="353">
        <f>28578-28578+628+1000-999.5+1200</f>
        <v>1828.5</v>
      </c>
      <c r="AF949" s="468">
        <v>1759</v>
      </c>
      <c r="AG949" s="478">
        <f t="shared" si="293"/>
        <v>0.96199070276182663</v>
      </c>
    </row>
    <row r="950" spans="24:34" s="3" customFormat="1" x14ac:dyDescent="0.25">
      <c r="X950" s="403" t="s">
        <v>617</v>
      </c>
      <c r="Y950" s="348" t="s">
        <v>442</v>
      </c>
      <c r="Z950" s="349" t="s">
        <v>5</v>
      </c>
      <c r="AA950" s="350" t="s">
        <v>7</v>
      </c>
      <c r="AB950" s="355" t="s">
        <v>616</v>
      </c>
      <c r="AC950" s="357"/>
      <c r="AD950" s="353">
        <f t="shared" ref="AD950:AF951" si="303">AD951</f>
        <v>32920</v>
      </c>
      <c r="AE950" s="353">
        <f t="shared" si="303"/>
        <v>32920</v>
      </c>
      <c r="AF950" s="468">
        <f t="shared" si="303"/>
        <v>32030.9</v>
      </c>
      <c r="AG950" s="478">
        <f t="shared" si="293"/>
        <v>0.97299210206561371</v>
      </c>
    </row>
    <row r="951" spans="24:34" s="3" customFormat="1" x14ac:dyDescent="0.25">
      <c r="X951" s="347" t="s">
        <v>121</v>
      </c>
      <c r="Y951" s="348" t="s">
        <v>442</v>
      </c>
      <c r="Z951" s="349" t="s">
        <v>5</v>
      </c>
      <c r="AA951" s="350" t="s">
        <v>7</v>
      </c>
      <c r="AB951" s="355" t="s">
        <v>616</v>
      </c>
      <c r="AC951" s="352">
        <v>200</v>
      </c>
      <c r="AD951" s="353">
        <f t="shared" si="303"/>
        <v>32920</v>
      </c>
      <c r="AE951" s="353">
        <f t="shared" si="303"/>
        <v>32920</v>
      </c>
      <c r="AF951" s="468">
        <f t="shared" si="303"/>
        <v>32030.9</v>
      </c>
      <c r="AG951" s="478">
        <f t="shared" si="293"/>
        <v>0.97299210206561371</v>
      </c>
      <c r="AH951" s="19"/>
    </row>
    <row r="952" spans="24:34" s="3" customFormat="1" ht="31.5" x14ac:dyDescent="0.25">
      <c r="X952" s="347" t="s">
        <v>52</v>
      </c>
      <c r="Y952" s="348" t="s">
        <v>442</v>
      </c>
      <c r="Z952" s="349" t="s">
        <v>5</v>
      </c>
      <c r="AA952" s="350" t="s">
        <v>7</v>
      </c>
      <c r="AB952" s="355" t="s">
        <v>616</v>
      </c>
      <c r="AC952" s="357">
        <v>240</v>
      </c>
      <c r="AD952" s="353">
        <f>22700+6800+920+2500</f>
        <v>32920</v>
      </c>
      <c r="AE952" s="353">
        <f>22700+6800+920+2500</f>
        <v>32920</v>
      </c>
      <c r="AF952" s="468">
        <v>32030.9</v>
      </c>
      <c r="AG952" s="478">
        <f t="shared" si="293"/>
        <v>0.97299210206561371</v>
      </c>
      <c r="AH952" s="207"/>
    </row>
    <row r="953" spans="24:34" s="3" customFormat="1" x14ac:dyDescent="0.25">
      <c r="X953" s="347" t="s">
        <v>467</v>
      </c>
      <c r="Y953" s="348" t="s">
        <v>442</v>
      </c>
      <c r="Z953" s="349" t="s">
        <v>5</v>
      </c>
      <c r="AA953" s="350" t="s">
        <v>7</v>
      </c>
      <c r="AB953" s="355" t="s">
        <v>428</v>
      </c>
      <c r="AC953" s="357"/>
      <c r="AD953" s="353">
        <f t="shared" ref="AD953:AF954" si="304">AD954</f>
        <v>37173.5</v>
      </c>
      <c r="AE953" s="353">
        <f t="shared" si="304"/>
        <v>37173.5</v>
      </c>
      <c r="AF953" s="468">
        <f t="shared" si="304"/>
        <v>30730.9</v>
      </c>
      <c r="AG953" s="478">
        <f t="shared" si="293"/>
        <v>0.82668836671284651</v>
      </c>
      <c r="AH953" s="206"/>
    </row>
    <row r="954" spans="24:34" s="3" customFormat="1" x14ac:dyDescent="0.25">
      <c r="X954" s="347" t="s">
        <v>121</v>
      </c>
      <c r="Y954" s="348" t="s">
        <v>442</v>
      </c>
      <c r="Z954" s="349" t="s">
        <v>5</v>
      </c>
      <c r="AA954" s="350" t="s">
        <v>7</v>
      </c>
      <c r="AB954" s="355" t="s">
        <v>428</v>
      </c>
      <c r="AC954" s="352">
        <v>200</v>
      </c>
      <c r="AD954" s="353">
        <f t="shared" si="304"/>
        <v>37173.5</v>
      </c>
      <c r="AE954" s="353">
        <f t="shared" si="304"/>
        <v>37173.5</v>
      </c>
      <c r="AF954" s="468">
        <f t="shared" si="304"/>
        <v>30730.9</v>
      </c>
      <c r="AG954" s="478">
        <f t="shared" si="293"/>
        <v>0.82668836671284651</v>
      </c>
      <c r="AH954" s="206"/>
    </row>
    <row r="955" spans="24:34" s="3" customFormat="1" ht="28.5" customHeight="1" x14ac:dyDescent="0.25">
      <c r="X955" s="347" t="s">
        <v>52</v>
      </c>
      <c r="Y955" s="348" t="s">
        <v>442</v>
      </c>
      <c r="Z955" s="349" t="s">
        <v>5</v>
      </c>
      <c r="AA955" s="350" t="s">
        <v>7</v>
      </c>
      <c r="AB955" s="355" t="s">
        <v>428</v>
      </c>
      <c r="AC955" s="357">
        <v>240</v>
      </c>
      <c r="AD955" s="353">
        <f>30042.2-9641.7+9641.7+1500+850-2300-559.7-60+821+6500+380</f>
        <v>37173.5</v>
      </c>
      <c r="AE955" s="353">
        <f>30042.2-9641.7+9641.7+1500+850-2300-559.7-60+821+6500+380</f>
        <v>37173.5</v>
      </c>
      <c r="AF955" s="468">
        <v>30730.9</v>
      </c>
      <c r="AG955" s="478">
        <f t="shared" si="293"/>
        <v>0.82668836671284651</v>
      </c>
      <c r="AH955" s="207"/>
    </row>
    <row r="956" spans="24:34" s="3" customFormat="1" ht="32.450000000000003" customHeight="1" x14ac:dyDescent="0.25">
      <c r="X956" s="368" t="s">
        <v>703</v>
      </c>
      <c r="Y956" s="348" t="s">
        <v>442</v>
      </c>
      <c r="Z956" s="349" t="s">
        <v>5</v>
      </c>
      <c r="AA956" s="350" t="s">
        <v>7</v>
      </c>
      <c r="AB956" s="355" t="s">
        <v>704</v>
      </c>
      <c r="AC956" s="357"/>
      <c r="AD956" s="353">
        <f t="shared" ref="AD956:AF957" si="305">AD957</f>
        <v>29244</v>
      </c>
      <c r="AE956" s="353">
        <f t="shared" si="305"/>
        <v>29244</v>
      </c>
      <c r="AF956" s="468">
        <f t="shared" si="305"/>
        <v>27701.599999999999</v>
      </c>
      <c r="AG956" s="478">
        <f t="shared" si="293"/>
        <v>0.94725755710573101</v>
      </c>
    </row>
    <row r="957" spans="24:34" s="3" customFormat="1" x14ac:dyDescent="0.25">
      <c r="X957" s="347" t="s">
        <v>121</v>
      </c>
      <c r="Y957" s="348" t="s">
        <v>442</v>
      </c>
      <c r="Z957" s="349" t="s">
        <v>5</v>
      </c>
      <c r="AA957" s="350" t="s">
        <v>7</v>
      </c>
      <c r="AB957" s="355" t="s">
        <v>704</v>
      </c>
      <c r="AC957" s="352">
        <v>200</v>
      </c>
      <c r="AD957" s="353">
        <f t="shared" si="305"/>
        <v>29244</v>
      </c>
      <c r="AE957" s="353">
        <f t="shared" si="305"/>
        <v>29244</v>
      </c>
      <c r="AF957" s="468">
        <f t="shared" si="305"/>
        <v>27701.599999999999</v>
      </c>
      <c r="AG957" s="478">
        <f t="shared" si="293"/>
        <v>0.94725755710573101</v>
      </c>
    </row>
    <row r="958" spans="24:34" s="3" customFormat="1" ht="16.149999999999999" customHeight="1" x14ac:dyDescent="0.25">
      <c r="X958" s="347" t="s">
        <v>52</v>
      </c>
      <c r="Y958" s="348" t="s">
        <v>442</v>
      </c>
      <c r="Z958" s="349" t="s">
        <v>5</v>
      </c>
      <c r="AA958" s="350" t="s">
        <v>7</v>
      </c>
      <c r="AB958" s="355" t="s">
        <v>704</v>
      </c>
      <c r="AC958" s="357">
        <v>240</v>
      </c>
      <c r="AD958" s="353">
        <f>28578+999.5-333.5</f>
        <v>29244</v>
      </c>
      <c r="AE958" s="353">
        <f>28578+999.5-333.5</f>
        <v>29244</v>
      </c>
      <c r="AF958" s="468">
        <v>27701.599999999999</v>
      </c>
      <c r="AG958" s="478">
        <f t="shared" si="293"/>
        <v>0.94725755710573101</v>
      </c>
    </row>
    <row r="959" spans="24:34" s="3" customFormat="1" ht="31.5" x14ac:dyDescent="0.25">
      <c r="X959" s="347" t="s">
        <v>707</v>
      </c>
      <c r="Y959" s="348" t="s">
        <v>442</v>
      </c>
      <c r="Z959" s="349" t="s">
        <v>5</v>
      </c>
      <c r="AA959" s="350" t="s">
        <v>7</v>
      </c>
      <c r="AB959" s="355" t="s">
        <v>706</v>
      </c>
      <c r="AC959" s="357"/>
      <c r="AD959" s="353">
        <f t="shared" ref="AD959:AF960" si="306">AD960</f>
        <v>14123.9</v>
      </c>
      <c r="AE959" s="353">
        <f t="shared" si="306"/>
        <v>14123.9</v>
      </c>
      <c r="AF959" s="468">
        <f t="shared" si="306"/>
        <v>14047.8</v>
      </c>
      <c r="AG959" s="478">
        <f t="shared" si="293"/>
        <v>0.99461196978171751</v>
      </c>
      <c r="AH959" s="207"/>
    </row>
    <row r="960" spans="24:34" s="3" customFormat="1" x14ac:dyDescent="0.25">
      <c r="X960" s="347" t="s">
        <v>121</v>
      </c>
      <c r="Y960" s="348" t="s">
        <v>442</v>
      </c>
      <c r="Z960" s="349" t="s">
        <v>5</v>
      </c>
      <c r="AA960" s="350" t="s">
        <v>7</v>
      </c>
      <c r="AB960" s="355" t="s">
        <v>706</v>
      </c>
      <c r="AC960" s="352">
        <v>200</v>
      </c>
      <c r="AD960" s="353">
        <f t="shared" si="306"/>
        <v>14123.9</v>
      </c>
      <c r="AE960" s="353">
        <f t="shared" si="306"/>
        <v>14123.9</v>
      </c>
      <c r="AF960" s="468">
        <f t="shared" si="306"/>
        <v>14047.8</v>
      </c>
      <c r="AG960" s="478">
        <f t="shared" si="293"/>
        <v>0.99461196978171751</v>
      </c>
      <c r="AH960" s="207"/>
    </row>
    <row r="961" spans="24:34" s="3" customFormat="1" ht="32.25" customHeight="1" x14ac:dyDescent="0.25">
      <c r="X961" s="347" t="s">
        <v>52</v>
      </c>
      <c r="Y961" s="348" t="s">
        <v>442</v>
      </c>
      <c r="Z961" s="349" t="s">
        <v>5</v>
      </c>
      <c r="AA961" s="350" t="s">
        <v>7</v>
      </c>
      <c r="AB961" s="355" t="s">
        <v>706</v>
      </c>
      <c r="AC961" s="357">
        <v>240</v>
      </c>
      <c r="AD961" s="353">
        <f>14433.1-309.2</f>
        <v>14123.9</v>
      </c>
      <c r="AE961" s="353">
        <f>14433.1-309.2</f>
        <v>14123.9</v>
      </c>
      <c r="AF961" s="468">
        <v>14047.8</v>
      </c>
      <c r="AG961" s="478">
        <f t="shared" si="293"/>
        <v>0.99461196978171751</v>
      </c>
      <c r="AH961" s="207"/>
    </row>
    <row r="962" spans="24:34" s="3" customFormat="1" x14ac:dyDescent="0.25">
      <c r="X962" s="347" t="s">
        <v>701</v>
      </c>
      <c r="Y962" s="348" t="s">
        <v>442</v>
      </c>
      <c r="Z962" s="349" t="s">
        <v>5</v>
      </c>
      <c r="AA962" s="350" t="s">
        <v>7</v>
      </c>
      <c r="AB962" s="355" t="s">
        <v>702</v>
      </c>
      <c r="AC962" s="357"/>
      <c r="AD962" s="353">
        <f t="shared" ref="AD962:AF963" si="307">AD963</f>
        <v>13208.900000000001</v>
      </c>
      <c r="AE962" s="353">
        <f t="shared" si="307"/>
        <v>13208.900000000001</v>
      </c>
      <c r="AF962" s="468">
        <f t="shared" si="307"/>
        <v>13159.7</v>
      </c>
      <c r="AG962" s="478">
        <f t="shared" si="293"/>
        <v>0.99627523866483958</v>
      </c>
      <c r="AH962" s="207"/>
    </row>
    <row r="963" spans="24:34" s="3" customFormat="1" x14ac:dyDescent="0.25">
      <c r="X963" s="347" t="s">
        <v>121</v>
      </c>
      <c r="Y963" s="348" t="s">
        <v>442</v>
      </c>
      <c r="Z963" s="349" t="s">
        <v>5</v>
      </c>
      <c r="AA963" s="350" t="s">
        <v>7</v>
      </c>
      <c r="AB963" s="355" t="s">
        <v>702</v>
      </c>
      <c r="AC963" s="352">
        <v>200</v>
      </c>
      <c r="AD963" s="353">
        <f t="shared" si="307"/>
        <v>13208.900000000001</v>
      </c>
      <c r="AE963" s="353">
        <f t="shared" si="307"/>
        <v>13208.900000000001</v>
      </c>
      <c r="AF963" s="468">
        <f t="shared" si="307"/>
        <v>13159.7</v>
      </c>
      <c r="AG963" s="478">
        <f t="shared" si="293"/>
        <v>0.99627523866483958</v>
      </c>
      <c r="AH963" s="207"/>
    </row>
    <row r="964" spans="24:34" s="3" customFormat="1" ht="30" customHeight="1" x14ac:dyDescent="0.25">
      <c r="X964" s="347" t="s">
        <v>52</v>
      </c>
      <c r="Y964" s="348" t="s">
        <v>442</v>
      </c>
      <c r="Z964" s="349" t="s">
        <v>5</v>
      </c>
      <c r="AA964" s="350" t="s">
        <v>7</v>
      </c>
      <c r="AB964" s="355" t="s">
        <v>702</v>
      </c>
      <c r="AC964" s="357">
        <v>240</v>
      </c>
      <c r="AD964" s="353">
        <f>11110.2+60+2038.7</f>
        <v>13208.900000000001</v>
      </c>
      <c r="AE964" s="353">
        <f>11110.2+60+2038.7</f>
        <v>13208.900000000001</v>
      </c>
      <c r="AF964" s="468">
        <v>13159.7</v>
      </c>
      <c r="AG964" s="478">
        <f t="shared" si="293"/>
        <v>0.99627523866483958</v>
      </c>
      <c r="AH964" s="207"/>
    </row>
    <row r="965" spans="24:34" s="3" customFormat="1" x14ac:dyDescent="0.25">
      <c r="X965" s="347" t="s">
        <v>457</v>
      </c>
      <c r="Y965" s="348" t="s">
        <v>442</v>
      </c>
      <c r="Z965" s="349" t="s">
        <v>5</v>
      </c>
      <c r="AA965" s="350" t="s">
        <v>7</v>
      </c>
      <c r="AB965" s="355" t="s">
        <v>672</v>
      </c>
      <c r="AC965" s="357"/>
      <c r="AD965" s="353">
        <f t="shared" ref="AD965:AF966" si="308">AD966</f>
        <v>1317.5</v>
      </c>
      <c r="AE965" s="353">
        <f t="shared" si="308"/>
        <v>1317.5</v>
      </c>
      <c r="AF965" s="468">
        <f t="shared" si="308"/>
        <v>1119</v>
      </c>
      <c r="AG965" s="478">
        <f t="shared" si="293"/>
        <v>0.84933586337760913</v>
      </c>
      <c r="AH965" s="207"/>
    </row>
    <row r="966" spans="24:34" s="3" customFormat="1" x14ac:dyDescent="0.25">
      <c r="X966" s="347" t="s">
        <v>121</v>
      </c>
      <c r="Y966" s="348" t="s">
        <v>442</v>
      </c>
      <c r="Z966" s="349" t="s">
        <v>5</v>
      </c>
      <c r="AA966" s="350" t="s">
        <v>7</v>
      </c>
      <c r="AB966" s="355" t="s">
        <v>672</v>
      </c>
      <c r="AC966" s="352">
        <v>200</v>
      </c>
      <c r="AD966" s="353">
        <f t="shared" si="308"/>
        <v>1317.5</v>
      </c>
      <c r="AE966" s="353">
        <f t="shared" si="308"/>
        <v>1317.5</v>
      </c>
      <c r="AF966" s="468">
        <f t="shared" si="308"/>
        <v>1119</v>
      </c>
      <c r="AG966" s="478">
        <f t="shared" si="293"/>
        <v>0.84933586337760913</v>
      </c>
      <c r="AH966" s="207"/>
    </row>
    <row r="967" spans="24:34" s="3" customFormat="1" ht="36" customHeight="1" x14ac:dyDescent="0.25">
      <c r="X967" s="347" t="s">
        <v>52</v>
      </c>
      <c r="Y967" s="348" t="s">
        <v>442</v>
      </c>
      <c r="Z967" s="349" t="s">
        <v>5</v>
      </c>
      <c r="AA967" s="350" t="s">
        <v>7</v>
      </c>
      <c r="AB967" s="355" t="s">
        <v>672</v>
      </c>
      <c r="AC967" s="357">
        <v>240</v>
      </c>
      <c r="AD967" s="353">
        <f>1317.5</f>
        <v>1317.5</v>
      </c>
      <c r="AE967" s="353">
        <f>1317.5</f>
        <v>1317.5</v>
      </c>
      <c r="AF967" s="468">
        <v>1119</v>
      </c>
      <c r="AG967" s="478">
        <f t="shared" si="293"/>
        <v>0.84933586337760913</v>
      </c>
      <c r="AH967" s="207"/>
    </row>
    <row r="968" spans="24:34" s="3" customFormat="1" x14ac:dyDescent="0.25">
      <c r="X968" s="347" t="s">
        <v>27</v>
      </c>
      <c r="Y968" s="348" t="s">
        <v>442</v>
      </c>
      <c r="Z968" s="349" t="s">
        <v>5</v>
      </c>
      <c r="AA968" s="350" t="s">
        <v>5</v>
      </c>
      <c r="AB968" s="351"/>
      <c r="AC968" s="352"/>
      <c r="AD968" s="353">
        <f>AD975+AD969</f>
        <v>29283.300000000003</v>
      </c>
      <c r="AE968" s="353">
        <f>AE975+AE969</f>
        <v>29283.100000000006</v>
      </c>
      <c r="AF968" s="468">
        <f t="shared" ref="AF968" si="309">AF975+AF969</f>
        <v>28553.399999999998</v>
      </c>
      <c r="AG968" s="478">
        <f t="shared" si="293"/>
        <v>0.97508119017453732</v>
      </c>
      <c r="AH968" s="19"/>
    </row>
    <row r="969" spans="24:34" s="3" customFormat="1" x14ac:dyDescent="0.25">
      <c r="X969" s="354" t="s">
        <v>187</v>
      </c>
      <c r="Y969" s="348" t="s">
        <v>442</v>
      </c>
      <c r="Z969" s="349" t="s">
        <v>5</v>
      </c>
      <c r="AA969" s="350" t="s">
        <v>5</v>
      </c>
      <c r="AB969" s="355" t="s">
        <v>113</v>
      </c>
      <c r="AC969" s="352"/>
      <c r="AD969" s="353">
        <f t="shared" ref="AD969:AE973" si="310">AD970</f>
        <v>181.4</v>
      </c>
      <c r="AE969" s="353">
        <f t="shared" si="310"/>
        <v>181.4</v>
      </c>
      <c r="AF969" s="468">
        <f t="shared" ref="AF969" si="311">AF970</f>
        <v>161.30000000000001</v>
      </c>
      <c r="AG969" s="478">
        <f t="shared" si="293"/>
        <v>0.88919514884233741</v>
      </c>
      <c r="AH969" s="19"/>
    </row>
    <row r="970" spans="24:34" s="3" customFormat="1" x14ac:dyDescent="0.25">
      <c r="X970" s="354" t="s">
        <v>191</v>
      </c>
      <c r="Y970" s="348" t="s">
        <v>442</v>
      </c>
      <c r="Z970" s="349" t="s">
        <v>5</v>
      </c>
      <c r="AA970" s="350" t="s">
        <v>5</v>
      </c>
      <c r="AB970" s="355" t="s">
        <v>192</v>
      </c>
      <c r="AC970" s="352"/>
      <c r="AD970" s="353">
        <f t="shared" si="310"/>
        <v>181.4</v>
      </c>
      <c r="AE970" s="353">
        <f t="shared" si="310"/>
        <v>181.4</v>
      </c>
      <c r="AF970" s="468">
        <f t="shared" ref="AF970" si="312">AF971</f>
        <v>161.30000000000001</v>
      </c>
      <c r="AG970" s="478">
        <f t="shared" si="293"/>
        <v>0.88919514884233741</v>
      </c>
      <c r="AH970" s="19"/>
    </row>
    <row r="971" spans="24:34" s="3" customFormat="1" ht="31.5" x14ac:dyDescent="0.25">
      <c r="X971" s="347" t="s">
        <v>572</v>
      </c>
      <c r="Y971" s="348" t="s">
        <v>442</v>
      </c>
      <c r="Z971" s="349" t="s">
        <v>5</v>
      </c>
      <c r="AA971" s="350" t="s">
        <v>5</v>
      </c>
      <c r="AB971" s="363" t="s">
        <v>573</v>
      </c>
      <c r="AC971" s="357"/>
      <c r="AD971" s="353">
        <f t="shared" si="310"/>
        <v>181.4</v>
      </c>
      <c r="AE971" s="353">
        <f t="shared" si="310"/>
        <v>181.4</v>
      </c>
      <c r="AF971" s="468">
        <f t="shared" ref="AF971:AF973" si="313">AF972</f>
        <v>161.30000000000001</v>
      </c>
      <c r="AG971" s="478">
        <f t="shared" si="293"/>
        <v>0.88919514884233741</v>
      </c>
      <c r="AH971" s="19"/>
    </row>
    <row r="972" spans="24:34" s="3" customFormat="1" ht="78.75" x14ac:dyDescent="0.25">
      <c r="X972" s="347" t="s">
        <v>432</v>
      </c>
      <c r="Y972" s="348" t="s">
        <v>442</v>
      </c>
      <c r="Z972" s="349" t="s">
        <v>5</v>
      </c>
      <c r="AA972" s="350" t="s">
        <v>5</v>
      </c>
      <c r="AB972" s="355" t="s">
        <v>574</v>
      </c>
      <c r="AC972" s="357"/>
      <c r="AD972" s="353">
        <f t="shared" si="310"/>
        <v>181.4</v>
      </c>
      <c r="AE972" s="353">
        <f t="shared" si="310"/>
        <v>181.4</v>
      </c>
      <c r="AF972" s="468">
        <f t="shared" si="313"/>
        <v>161.30000000000001</v>
      </c>
      <c r="AG972" s="478">
        <f t="shared" si="293"/>
        <v>0.88919514884233741</v>
      </c>
      <c r="AH972" s="19"/>
    </row>
    <row r="973" spans="24:34" s="3" customFormat="1" x14ac:dyDescent="0.25">
      <c r="X973" s="347" t="s">
        <v>121</v>
      </c>
      <c r="Y973" s="348" t="s">
        <v>442</v>
      </c>
      <c r="Z973" s="349" t="s">
        <v>5</v>
      </c>
      <c r="AA973" s="350" t="s">
        <v>5</v>
      </c>
      <c r="AB973" s="355" t="s">
        <v>574</v>
      </c>
      <c r="AC973" s="357">
        <v>200</v>
      </c>
      <c r="AD973" s="353">
        <f t="shared" si="310"/>
        <v>181.4</v>
      </c>
      <c r="AE973" s="353">
        <f t="shared" si="310"/>
        <v>181.4</v>
      </c>
      <c r="AF973" s="468">
        <f t="shared" si="313"/>
        <v>161.30000000000001</v>
      </c>
      <c r="AG973" s="478">
        <f t="shared" si="293"/>
        <v>0.88919514884233741</v>
      </c>
      <c r="AH973" s="19"/>
    </row>
    <row r="974" spans="24:34" s="3" customFormat="1" ht="31.5" x14ac:dyDescent="0.25">
      <c r="X974" s="347" t="s">
        <v>52</v>
      </c>
      <c r="Y974" s="348" t="s">
        <v>442</v>
      </c>
      <c r="Z974" s="349" t="s">
        <v>5</v>
      </c>
      <c r="AA974" s="350" t="s">
        <v>5</v>
      </c>
      <c r="AB974" s="355" t="s">
        <v>574</v>
      </c>
      <c r="AC974" s="357">
        <v>240</v>
      </c>
      <c r="AD974" s="353">
        <f>50+131.4</f>
        <v>181.4</v>
      </c>
      <c r="AE974" s="353">
        <f>50+131.4</f>
        <v>181.4</v>
      </c>
      <c r="AF974" s="468">
        <v>161.30000000000001</v>
      </c>
      <c r="AG974" s="478">
        <f t="shared" si="293"/>
        <v>0.88919514884233741</v>
      </c>
      <c r="AH974" s="19"/>
    </row>
    <row r="975" spans="24:34" s="3" customFormat="1" x14ac:dyDescent="0.25">
      <c r="X975" s="354" t="s">
        <v>249</v>
      </c>
      <c r="Y975" s="348" t="s">
        <v>442</v>
      </c>
      <c r="Z975" s="349" t="s">
        <v>5</v>
      </c>
      <c r="AA975" s="350" t="s">
        <v>5</v>
      </c>
      <c r="AB975" s="355" t="s">
        <v>250</v>
      </c>
      <c r="AC975" s="352"/>
      <c r="AD975" s="353">
        <f>AD983+AD976</f>
        <v>29101.9</v>
      </c>
      <c r="AE975" s="353">
        <f>AE983+AE976</f>
        <v>29101.700000000004</v>
      </c>
      <c r="AF975" s="468">
        <f>AF983+AF976</f>
        <v>28392.1</v>
      </c>
      <c r="AG975" s="478">
        <f t="shared" si="293"/>
        <v>0.97561654473793602</v>
      </c>
    </row>
    <row r="976" spans="24:34" s="3" customFormat="1" ht="37.15" customHeight="1" x14ac:dyDescent="0.25">
      <c r="X976" s="354" t="s">
        <v>579</v>
      </c>
      <c r="Y976" s="348" t="s">
        <v>442</v>
      </c>
      <c r="Z976" s="349" t="s">
        <v>5</v>
      </c>
      <c r="AA976" s="350" t="s">
        <v>5</v>
      </c>
      <c r="AB976" s="355" t="s">
        <v>251</v>
      </c>
      <c r="AC976" s="352"/>
      <c r="AD976" s="353">
        <f t="shared" ref="AD976:AF977" si="314">AD977</f>
        <v>1474</v>
      </c>
      <c r="AE976" s="353">
        <f t="shared" si="314"/>
        <v>1474</v>
      </c>
      <c r="AF976" s="468">
        <f t="shared" si="314"/>
        <v>1474</v>
      </c>
      <c r="AG976" s="478">
        <f t="shared" si="293"/>
        <v>1</v>
      </c>
    </row>
    <row r="977" spans="24:34" s="3" customFormat="1" ht="35.450000000000003" customHeight="1" x14ac:dyDescent="0.25">
      <c r="X977" s="368" t="s">
        <v>580</v>
      </c>
      <c r="Y977" s="348" t="s">
        <v>442</v>
      </c>
      <c r="Z977" s="349" t="s">
        <v>5</v>
      </c>
      <c r="AA977" s="350" t="s">
        <v>5</v>
      </c>
      <c r="AB977" s="355" t="s">
        <v>252</v>
      </c>
      <c r="AC977" s="352"/>
      <c r="AD977" s="353">
        <f t="shared" si="314"/>
        <v>1474</v>
      </c>
      <c r="AE977" s="353">
        <f t="shared" si="314"/>
        <v>1474</v>
      </c>
      <c r="AF977" s="468">
        <f t="shared" si="314"/>
        <v>1474</v>
      </c>
      <c r="AG977" s="478">
        <f t="shared" si="293"/>
        <v>1</v>
      </c>
    </row>
    <row r="978" spans="24:34" s="3" customFormat="1" ht="39" customHeight="1" x14ac:dyDescent="0.25">
      <c r="X978" s="366" t="s">
        <v>340</v>
      </c>
      <c r="Y978" s="348" t="s">
        <v>442</v>
      </c>
      <c r="Z978" s="349" t="s">
        <v>5</v>
      </c>
      <c r="AA978" s="350" t="s">
        <v>5</v>
      </c>
      <c r="AB978" s="355" t="s">
        <v>582</v>
      </c>
      <c r="AC978" s="357"/>
      <c r="AD978" s="353">
        <f>AD979+AD981</f>
        <v>1474</v>
      </c>
      <c r="AE978" s="353">
        <f>AE979+AE981</f>
        <v>1474</v>
      </c>
      <c r="AF978" s="468">
        <f>AF979+AF981</f>
        <v>1474</v>
      </c>
      <c r="AG978" s="478">
        <f t="shared" si="293"/>
        <v>1</v>
      </c>
    </row>
    <row r="979" spans="24:34" s="3" customFormat="1" ht="47.25" x14ac:dyDescent="0.25">
      <c r="X979" s="366" t="s">
        <v>41</v>
      </c>
      <c r="Y979" s="348" t="s">
        <v>442</v>
      </c>
      <c r="Z979" s="349" t="s">
        <v>5</v>
      </c>
      <c r="AA979" s="350" t="s">
        <v>5</v>
      </c>
      <c r="AB979" s="355" t="s">
        <v>582</v>
      </c>
      <c r="AC979" s="357">
        <v>100</v>
      </c>
      <c r="AD979" s="353">
        <f>AD980</f>
        <v>1421</v>
      </c>
      <c r="AE979" s="353">
        <f>AE980</f>
        <v>1421</v>
      </c>
      <c r="AF979" s="468">
        <f>AF980</f>
        <v>1421</v>
      </c>
      <c r="AG979" s="478">
        <f t="shared" si="293"/>
        <v>1</v>
      </c>
    </row>
    <row r="980" spans="24:34" s="3" customFormat="1" x14ac:dyDescent="0.25">
      <c r="X980" s="366" t="s">
        <v>97</v>
      </c>
      <c r="Y980" s="348" t="s">
        <v>442</v>
      </c>
      <c r="Z980" s="349" t="s">
        <v>5</v>
      </c>
      <c r="AA980" s="350" t="s">
        <v>5</v>
      </c>
      <c r="AB980" s="355" t="s">
        <v>582</v>
      </c>
      <c r="AC980" s="357">
        <v>120</v>
      </c>
      <c r="AD980" s="353">
        <v>1421</v>
      </c>
      <c r="AE980" s="353">
        <v>1421</v>
      </c>
      <c r="AF980" s="468">
        <v>1421</v>
      </c>
      <c r="AG980" s="478">
        <f t="shared" si="293"/>
        <v>1</v>
      </c>
    </row>
    <row r="981" spans="24:34" s="3" customFormat="1" x14ac:dyDescent="0.25">
      <c r="X981" s="366" t="s">
        <v>121</v>
      </c>
      <c r="Y981" s="348" t="s">
        <v>442</v>
      </c>
      <c r="Z981" s="349" t="s">
        <v>5</v>
      </c>
      <c r="AA981" s="350" t="s">
        <v>5</v>
      </c>
      <c r="AB981" s="355" t="s">
        <v>582</v>
      </c>
      <c r="AC981" s="357">
        <v>200</v>
      </c>
      <c r="AD981" s="353">
        <f>AD982</f>
        <v>53</v>
      </c>
      <c r="AE981" s="353">
        <f>AE982</f>
        <v>53</v>
      </c>
      <c r="AF981" s="468">
        <f>AF982</f>
        <v>53</v>
      </c>
      <c r="AG981" s="478">
        <f t="shared" si="293"/>
        <v>1</v>
      </c>
    </row>
    <row r="982" spans="24:34" s="3" customFormat="1" ht="31.5" x14ac:dyDescent="0.25">
      <c r="X982" s="366" t="s">
        <v>52</v>
      </c>
      <c r="Y982" s="348" t="s">
        <v>442</v>
      </c>
      <c r="Z982" s="349" t="s">
        <v>5</v>
      </c>
      <c r="AA982" s="350" t="s">
        <v>5</v>
      </c>
      <c r="AB982" s="355" t="s">
        <v>582</v>
      </c>
      <c r="AC982" s="357">
        <v>240</v>
      </c>
      <c r="AD982" s="353">
        <v>53</v>
      </c>
      <c r="AE982" s="353">
        <v>53</v>
      </c>
      <c r="AF982" s="468">
        <v>53</v>
      </c>
      <c r="AG982" s="478">
        <f t="shared" si="293"/>
        <v>1</v>
      </c>
    </row>
    <row r="983" spans="24:34" s="3" customFormat="1" x14ac:dyDescent="0.25">
      <c r="X983" s="354" t="s">
        <v>191</v>
      </c>
      <c r="Y983" s="348" t="s">
        <v>442</v>
      </c>
      <c r="Z983" s="349" t="s">
        <v>5</v>
      </c>
      <c r="AA983" s="350" t="s">
        <v>5</v>
      </c>
      <c r="AB983" s="355" t="s">
        <v>331</v>
      </c>
      <c r="AC983" s="357"/>
      <c r="AD983" s="353">
        <f t="shared" ref="AD983:AF984" si="315">AD984</f>
        <v>27627.9</v>
      </c>
      <c r="AE983" s="353">
        <f t="shared" si="315"/>
        <v>27627.700000000004</v>
      </c>
      <c r="AF983" s="468">
        <f t="shared" si="315"/>
        <v>26918.1</v>
      </c>
      <c r="AG983" s="478">
        <f t="shared" si="293"/>
        <v>0.97431563249926678</v>
      </c>
    </row>
    <row r="984" spans="24:34" s="3" customFormat="1" ht="31.5" x14ac:dyDescent="0.25">
      <c r="X984" s="354" t="s">
        <v>193</v>
      </c>
      <c r="Y984" s="348" t="s">
        <v>442</v>
      </c>
      <c r="Z984" s="349" t="s">
        <v>5</v>
      </c>
      <c r="AA984" s="350" t="s">
        <v>5</v>
      </c>
      <c r="AB984" s="355" t="s">
        <v>334</v>
      </c>
      <c r="AC984" s="352"/>
      <c r="AD984" s="353">
        <f>AD985</f>
        <v>27627.9</v>
      </c>
      <c r="AE984" s="353">
        <f>AE985</f>
        <v>27627.700000000004</v>
      </c>
      <c r="AF984" s="468">
        <f t="shared" si="315"/>
        <v>26918.1</v>
      </c>
      <c r="AG984" s="478">
        <f t="shared" si="293"/>
        <v>0.97431563249926678</v>
      </c>
    </row>
    <row r="985" spans="24:34" s="3" customFormat="1" x14ac:dyDescent="0.25">
      <c r="X985" s="368" t="s">
        <v>207</v>
      </c>
      <c r="Y985" s="348" t="s">
        <v>442</v>
      </c>
      <c r="Z985" s="349" t="s">
        <v>5</v>
      </c>
      <c r="AA985" s="350" t="s">
        <v>5</v>
      </c>
      <c r="AB985" s="355" t="s">
        <v>585</v>
      </c>
      <c r="AC985" s="352"/>
      <c r="AD985" s="353">
        <f>AD986+AD991+AD994</f>
        <v>27627.9</v>
      </c>
      <c r="AE985" s="353">
        <f>AE986+AE991+AE994</f>
        <v>27627.700000000004</v>
      </c>
      <c r="AF985" s="468">
        <f>AF986+AF991+AF994</f>
        <v>26918.1</v>
      </c>
      <c r="AG985" s="478">
        <f t="shared" si="293"/>
        <v>0.97431563249926678</v>
      </c>
      <c r="AH985" s="19"/>
    </row>
    <row r="986" spans="24:34" s="3" customFormat="1" ht="31.5" x14ac:dyDescent="0.25">
      <c r="X986" s="347" t="s">
        <v>208</v>
      </c>
      <c r="Y986" s="348" t="s">
        <v>442</v>
      </c>
      <c r="Z986" s="349" t="s">
        <v>5</v>
      </c>
      <c r="AA986" s="350" t="s">
        <v>5</v>
      </c>
      <c r="AB986" s="355" t="s">
        <v>586</v>
      </c>
      <c r="AC986" s="357"/>
      <c r="AD986" s="353">
        <f>AD987+AD989</f>
        <v>3610.5</v>
      </c>
      <c r="AE986" s="353">
        <f>AE987+AE989</f>
        <v>3610.3</v>
      </c>
      <c r="AF986" s="468">
        <f>AF987+AF989</f>
        <v>3021.9</v>
      </c>
      <c r="AG986" s="478">
        <f t="shared" si="293"/>
        <v>0.83702185413954522</v>
      </c>
      <c r="AH986" s="19"/>
    </row>
    <row r="987" spans="24:34" s="3" customFormat="1" x14ac:dyDescent="0.25">
      <c r="X987" s="347" t="s">
        <v>121</v>
      </c>
      <c r="Y987" s="348" t="s">
        <v>442</v>
      </c>
      <c r="Z987" s="349" t="s">
        <v>5</v>
      </c>
      <c r="AA987" s="350" t="s">
        <v>5</v>
      </c>
      <c r="AB987" s="355" t="s">
        <v>586</v>
      </c>
      <c r="AC987" s="357">
        <v>200</v>
      </c>
      <c r="AD987" s="353">
        <f>AD988</f>
        <v>2011</v>
      </c>
      <c r="AE987" s="353">
        <f>AE988</f>
        <v>2010.8</v>
      </c>
      <c r="AF987" s="468">
        <f>AF988</f>
        <v>1422.4</v>
      </c>
      <c r="AG987" s="478">
        <f t="shared" si="293"/>
        <v>0.70738014720509257</v>
      </c>
      <c r="AH987" s="19"/>
    </row>
    <row r="988" spans="24:34" s="3" customFormat="1" ht="18.600000000000001" customHeight="1" x14ac:dyDescent="0.25">
      <c r="X988" s="347" t="s">
        <v>52</v>
      </c>
      <c r="Y988" s="348" t="s">
        <v>442</v>
      </c>
      <c r="Z988" s="349" t="s">
        <v>5</v>
      </c>
      <c r="AA988" s="350" t="s">
        <v>5</v>
      </c>
      <c r="AB988" s="355" t="s">
        <v>586</v>
      </c>
      <c r="AC988" s="357">
        <v>240</v>
      </c>
      <c r="AD988" s="353">
        <f>2192.4-432.5+432.5-50-131.4</f>
        <v>2011</v>
      </c>
      <c r="AE988" s="353">
        <f>2192.4-432.5+432.5-50-131.4-0.2</f>
        <v>2010.8</v>
      </c>
      <c r="AF988" s="468">
        <v>1422.4</v>
      </c>
      <c r="AG988" s="478">
        <f t="shared" si="293"/>
        <v>0.70738014720509257</v>
      </c>
      <c r="AH988" s="19"/>
    </row>
    <row r="989" spans="24:34" s="3" customFormat="1" ht="18.600000000000001" customHeight="1" x14ac:dyDescent="0.25">
      <c r="X989" s="347" t="s">
        <v>42</v>
      </c>
      <c r="Y989" s="348" t="s">
        <v>442</v>
      </c>
      <c r="Z989" s="349" t="s">
        <v>5</v>
      </c>
      <c r="AA989" s="350" t="s">
        <v>5</v>
      </c>
      <c r="AB989" s="355" t="s">
        <v>586</v>
      </c>
      <c r="AC989" s="357">
        <v>800</v>
      </c>
      <c r="AD989" s="353">
        <f>AD990</f>
        <v>1599.5</v>
      </c>
      <c r="AE989" s="353">
        <f>AE990</f>
        <v>1599.5</v>
      </c>
      <c r="AF989" s="468">
        <f>AF990</f>
        <v>1599.5</v>
      </c>
      <c r="AG989" s="478">
        <f t="shared" ref="AG989:AG1049" si="316">AF989/AE989</f>
        <v>1</v>
      </c>
      <c r="AH989" s="19"/>
    </row>
    <row r="990" spans="24:34" s="3" customFormat="1" ht="18.600000000000001" customHeight="1" x14ac:dyDescent="0.25">
      <c r="X990" s="347" t="s">
        <v>58</v>
      </c>
      <c r="Y990" s="348" t="s">
        <v>442</v>
      </c>
      <c r="Z990" s="349" t="s">
        <v>5</v>
      </c>
      <c r="AA990" s="350" t="s">
        <v>5</v>
      </c>
      <c r="AB990" s="355" t="s">
        <v>586</v>
      </c>
      <c r="AC990" s="357">
        <v>850</v>
      </c>
      <c r="AD990" s="353">
        <v>1599.5</v>
      </c>
      <c r="AE990" s="353">
        <v>1599.5</v>
      </c>
      <c r="AF990" s="468">
        <v>1599.5</v>
      </c>
      <c r="AG990" s="478">
        <f t="shared" si="316"/>
        <v>1</v>
      </c>
      <c r="AH990" s="19"/>
    </row>
    <row r="991" spans="24:34" s="3" customFormat="1" ht="31.5" x14ac:dyDescent="0.25">
      <c r="X991" s="347" t="s">
        <v>209</v>
      </c>
      <c r="Y991" s="348" t="s">
        <v>442</v>
      </c>
      <c r="Z991" s="349" t="s">
        <v>5</v>
      </c>
      <c r="AA991" s="350" t="s">
        <v>5</v>
      </c>
      <c r="AB991" s="355" t="s">
        <v>587</v>
      </c>
      <c r="AC991" s="357"/>
      <c r="AD991" s="353">
        <f t="shared" ref="AD991:AF992" si="317">AD992</f>
        <v>14789.500000000002</v>
      </c>
      <c r="AE991" s="353">
        <f t="shared" si="317"/>
        <v>14789.500000000002</v>
      </c>
      <c r="AF991" s="468">
        <f t="shared" si="317"/>
        <v>14681.4</v>
      </c>
      <c r="AG991" s="478">
        <f t="shared" si="316"/>
        <v>0.99269076033672521</v>
      </c>
      <c r="AH991" s="19"/>
    </row>
    <row r="992" spans="24:34" s="3" customFormat="1" ht="47.25" x14ac:dyDescent="0.25">
      <c r="X992" s="347" t="s">
        <v>41</v>
      </c>
      <c r="Y992" s="348" t="s">
        <v>442</v>
      </c>
      <c r="Z992" s="349" t="s">
        <v>5</v>
      </c>
      <c r="AA992" s="350" t="s">
        <v>5</v>
      </c>
      <c r="AB992" s="355" t="s">
        <v>587</v>
      </c>
      <c r="AC992" s="357">
        <v>100</v>
      </c>
      <c r="AD992" s="353">
        <f t="shared" si="317"/>
        <v>14789.500000000002</v>
      </c>
      <c r="AE992" s="353">
        <f t="shared" si="317"/>
        <v>14789.500000000002</v>
      </c>
      <c r="AF992" s="468">
        <f t="shared" si="317"/>
        <v>14681.4</v>
      </c>
      <c r="AG992" s="478">
        <f t="shared" si="316"/>
        <v>0.99269076033672521</v>
      </c>
      <c r="AH992" s="19"/>
    </row>
    <row r="993" spans="24:34" s="3" customFormat="1" x14ac:dyDescent="0.25">
      <c r="X993" s="347" t="s">
        <v>97</v>
      </c>
      <c r="Y993" s="348" t="s">
        <v>442</v>
      </c>
      <c r="Z993" s="349" t="s">
        <v>5</v>
      </c>
      <c r="AA993" s="350" t="s">
        <v>5</v>
      </c>
      <c r="AB993" s="355" t="s">
        <v>587</v>
      </c>
      <c r="AC993" s="357">
        <v>120</v>
      </c>
      <c r="AD993" s="353">
        <f>12198.7-1000+1000+1179.7+1411.1</f>
        <v>14789.500000000002</v>
      </c>
      <c r="AE993" s="353">
        <f>12198.7-1000+1000+1179.7+1411.1</f>
        <v>14789.500000000002</v>
      </c>
      <c r="AF993" s="468">
        <v>14681.4</v>
      </c>
      <c r="AG993" s="478">
        <f t="shared" si="316"/>
        <v>0.99269076033672521</v>
      </c>
      <c r="AH993" s="207"/>
    </row>
    <row r="994" spans="24:34" s="3" customFormat="1" ht="31.5" x14ac:dyDescent="0.25">
      <c r="X994" s="347" t="s">
        <v>210</v>
      </c>
      <c r="Y994" s="348" t="s">
        <v>442</v>
      </c>
      <c r="Z994" s="349" t="s">
        <v>5</v>
      </c>
      <c r="AA994" s="350" t="s">
        <v>5</v>
      </c>
      <c r="AB994" s="355" t="s">
        <v>588</v>
      </c>
      <c r="AC994" s="357"/>
      <c r="AD994" s="353">
        <f t="shared" ref="AD994:AF995" si="318">AD995</f>
        <v>9227.9</v>
      </c>
      <c r="AE994" s="353">
        <f t="shared" si="318"/>
        <v>9227.9</v>
      </c>
      <c r="AF994" s="468">
        <f t="shared" si="318"/>
        <v>9214.7999999999993</v>
      </c>
      <c r="AG994" s="478">
        <f t="shared" si="316"/>
        <v>0.99858039207186899</v>
      </c>
      <c r="AH994" s="19"/>
    </row>
    <row r="995" spans="24:34" s="3" customFormat="1" ht="47.25" x14ac:dyDescent="0.25">
      <c r="X995" s="347" t="s">
        <v>41</v>
      </c>
      <c r="Y995" s="348" t="s">
        <v>442</v>
      </c>
      <c r="Z995" s="349" t="s">
        <v>5</v>
      </c>
      <c r="AA995" s="350" t="s">
        <v>5</v>
      </c>
      <c r="AB995" s="355" t="s">
        <v>588</v>
      </c>
      <c r="AC995" s="357">
        <v>100</v>
      </c>
      <c r="AD995" s="353">
        <f t="shared" si="318"/>
        <v>9227.9</v>
      </c>
      <c r="AE995" s="353">
        <f t="shared" si="318"/>
        <v>9227.9</v>
      </c>
      <c r="AF995" s="468">
        <f t="shared" si="318"/>
        <v>9214.7999999999993</v>
      </c>
      <c r="AG995" s="478">
        <f t="shared" si="316"/>
        <v>0.99858039207186899</v>
      </c>
      <c r="AH995" s="19"/>
    </row>
    <row r="996" spans="24:34" s="3" customFormat="1" x14ac:dyDescent="0.25">
      <c r="X996" s="347" t="s">
        <v>97</v>
      </c>
      <c r="Y996" s="348" t="s">
        <v>442</v>
      </c>
      <c r="Z996" s="349" t="s">
        <v>5</v>
      </c>
      <c r="AA996" s="350" t="s">
        <v>5</v>
      </c>
      <c r="AB996" s="355" t="s">
        <v>588</v>
      </c>
      <c r="AC996" s="357">
        <v>120</v>
      </c>
      <c r="AD996" s="353">
        <f>7547.6-599.5+599.5+898+782.3</f>
        <v>9227.9</v>
      </c>
      <c r="AE996" s="353">
        <f>7547.6-599.5+599.5+898+782.3</f>
        <v>9227.9</v>
      </c>
      <c r="AF996" s="468">
        <v>9214.7999999999993</v>
      </c>
      <c r="AG996" s="478">
        <f t="shared" si="316"/>
        <v>0.99858039207186899</v>
      </c>
      <c r="AH996" s="19"/>
    </row>
    <row r="997" spans="24:34" s="3" customFormat="1" x14ac:dyDescent="0.25">
      <c r="X997" s="340" t="s">
        <v>39</v>
      </c>
      <c r="Y997" s="341" t="s">
        <v>442</v>
      </c>
      <c r="Z997" s="378" t="s">
        <v>96</v>
      </c>
      <c r="AA997" s="349"/>
      <c r="AB997" s="406"/>
      <c r="AC997" s="357"/>
      <c r="AD997" s="433">
        <f>AD998</f>
        <v>1356927</v>
      </c>
      <c r="AE997" s="433">
        <f>AE998</f>
        <v>1356927</v>
      </c>
      <c r="AF997" s="474">
        <f>AF998</f>
        <v>1356927</v>
      </c>
      <c r="AG997" s="477">
        <f t="shared" si="316"/>
        <v>1</v>
      </c>
      <c r="AH997" s="19"/>
    </row>
    <row r="998" spans="24:34" s="3" customFormat="1" x14ac:dyDescent="0.25">
      <c r="X998" s="347" t="s">
        <v>93</v>
      </c>
      <c r="Y998" s="348" t="s">
        <v>442</v>
      </c>
      <c r="Z998" s="387" t="s">
        <v>96</v>
      </c>
      <c r="AA998" s="349" t="s">
        <v>30</v>
      </c>
      <c r="AB998" s="406"/>
      <c r="AC998" s="357"/>
      <c r="AD998" s="434">
        <f t="shared" ref="AD998:AF1004" si="319">AD999</f>
        <v>1356927</v>
      </c>
      <c r="AE998" s="434">
        <f t="shared" si="319"/>
        <v>1356927</v>
      </c>
      <c r="AF998" s="468">
        <f t="shared" si="319"/>
        <v>1356927</v>
      </c>
      <c r="AG998" s="478">
        <f t="shared" si="316"/>
        <v>1</v>
      </c>
      <c r="AH998" s="19"/>
    </row>
    <row r="999" spans="24:34" s="3" customFormat="1" ht="31.15" customHeight="1" x14ac:dyDescent="0.25">
      <c r="X999" s="356" t="s">
        <v>644</v>
      </c>
      <c r="Y999" s="348" t="s">
        <v>442</v>
      </c>
      <c r="Z999" s="387" t="s">
        <v>96</v>
      </c>
      <c r="AA999" s="349" t="s">
        <v>30</v>
      </c>
      <c r="AB999" s="408" t="s">
        <v>112</v>
      </c>
      <c r="AC999" s="357"/>
      <c r="AD999" s="434">
        <f t="shared" si="319"/>
        <v>1356927</v>
      </c>
      <c r="AE999" s="434">
        <f t="shared" si="319"/>
        <v>1356927</v>
      </c>
      <c r="AF999" s="468">
        <f t="shared" si="319"/>
        <v>1356927</v>
      </c>
      <c r="AG999" s="478">
        <f t="shared" si="316"/>
        <v>1</v>
      </c>
      <c r="AH999" s="19"/>
    </row>
    <row r="1000" spans="24:34" s="3" customFormat="1" x14ac:dyDescent="0.25">
      <c r="X1000" s="356" t="s">
        <v>632</v>
      </c>
      <c r="Y1000" s="348" t="s">
        <v>442</v>
      </c>
      <c r="Z1000" s="387" t="s">
        <v>96</v>
      </c>
      <c r="AA1000" s="349" t="s">
        <v>30</v>
      </c>
      <c r="AB1000" s="408" t="s">
        <v>633</v>
      </c>
      <c r="AC1000" s="357"/>
      <c r="AD1000" s="434">
        <f>AD1001</f>
        <v>1356927</v>
      </c>
      <c r="AE1000" s="434">
        <f>AE1001</f>
        <v>1356927</v>
      </c>
      <c r="AF1000" s="475">
        <f t="shared" si="319"/>
        <v>1356927</v>
      </c>
      <c r="AG1000" s="478">
        <f t="shared" si="316"/>
        <v>1</v>
      </c>
      <c r="AH1000" s="19"/>
    </row>
    <row r="1001" spans="24:34" s="3" customFormat="1" x14ac:dyDescent="0.25">
      <c r="X1001" s="365" t="s">
        <v>634</v>
      </c>
      <c r="Y1001" s="348" t="s">
        <v>442</v>
      </c>
      <c r="Z1001" s="387" t="s">
        <v>96</v>
      </c>
      <c r="AA1001" s="349" t="s">
        <v>30</v>
      </c>
      <c r="AB1001" s="408" t="s">
        <v>635</v>
      </c>
      <c r="AC1001" s="372"/>
      <c r="AD1001" s="434">
        <f t="shared" si="319"/>
        <v>1356927</v>
      </c>
      <c r="AE1001" s="434">
        <f t="shared" si="319"/>
        <v>1356927</v>
      </c>
      <c r="AF1001" s="468">
        <f t="shared" si="319"/>
        <v>1356927</v>
      </c>
      <c r="AG1001" s="478">
        <f t="shared" si="316"/>
        <v>1</v>
      </c>
      <c r="AH1001" s="19"/>
    </row>
    <row r="1002" spans="24:34" s="3" customFormat="1" x14ac:dyDescent="0.25">
      <c r="X1002" s="365" t="s">
        <v>636</v>
      </c>
      <c r="Y1002" s="348" t="s">
        <v>442</v>
      </c>
      <c r="Z1002" s="387" t="s">
        <v>96</v>
      </c>
      <c r="AA1002" s="349" t="s">
        <v>30</v>
      </c>
      <c r="AB1002" s="408" t="s">
        <v>637</v>
      </c>
      <c r="AC1002" s="372"/>
      <c r="AD1002" s="434">
        <f>AD1003</f>
        <v>1356927</v>
      </c>
      <c r="AE1002" s="434">
        <f t="shared" si="319"/>
        <v>1356927</v>
      </c>
      <c r="AF1002" s="434">
        <f t="shared" si="319"/>
        <v>1356927</v>
      </c>
      <c r="AG1002" s="478">
        <f t="shared" si="316"/>
        <v>1</v>
      </c>
      <c r="AH1002" s="19"/>
    </row>
    <row r="1003" spans="24:34" s="3" customFormat="1" ht="31.5" x14ac:dyDescent="0.25">
      <c r="X1003" s="365" t="s">
        <v>638</v>
      </c>
      <c r="Y1003" s="348" t="s">
        <v>442</v>
      </c>
      <c r="Z1003" s="387" t="s">
        <v>96</v>
      </c>
      <c r="AA1003" s="349" t="s">
        <v>30</v>
      </c>
      <c r="AB1003" s="408" t="s">
        <v>639</v>
      </c>
      <c r="AC1003" s="372"/>
      <c r="AD1003" s="434">
        <f t="shared" si="319"/>
        <v>1356927</v>
      </c>
      <c r="AE1003" s="434">
        <f t="shared" si="319"/>
        <v>1356927</v>
      </c>
      <c r="AF1003" s="468">
        <f t="shared" si="319"/>
        <v>1356927</v>
      </c>
      <c r="AG1003" s="478">
        <f t="shared" si="316"/>
        <v>1</v>
      </c>
    </row>
    <row r="1004" spans="24:34" s="3" customFormat="1" x14ac:dyDescent="0.25">
      <c r="X1004" s="347" t="s">
        <v>154</v>
      </c>
      <c r="Y1004" s="348" t="s">
        <v>442</v>
      </c>
      <c r="Z1004" s="387" t="s">
        <v>96</v>
      </c>
      <c r="AA1004" s="349" t="s">
        <v>30</v>
      </c>
      <c r="AB1004" s="408" t="s">
        <v>639</v>
      </c>
      <c r="AC1004" s="372" t="s">
        <v>155</v>
      </c>
      <c r="AD1004" s="434">
        <f t="shared" si="319"/>
        <v>1356927</v>
      </c>
      <c r="AE1004" s="434">
        <f t="shared" si="319"/>
        <v>1356927</v>
      </c>
      <c r="AF1004" s="468">
        <f t="shared" si="319"/>
        <v>1356927</v>
      </c>
      <c r="AG1004" s="478">
        <f t="shared" si="316"/>
        <v>1</v>
      </c>
    </row>
    <row r="1005" spans="24:34" s="3" customFormat="1" x14ac:dyDescent="0.25">
      <c r="X1005" s="347" t="s">
        <v>9</v>
      </c>
      <c r="Y1005" s="348" t="s">
        <v>442</v>
      </c>
      <c r="Z1005" s="387" t="s">
        <v>96</v>
      </c>
      <c r="AA1005" s="349" t="s">
        <v>30</v>
      </c>
      <c r="AB1005" s="408" t="s">
        <v>639</v>
      </c>
      <c r="AC1005" s="372" t="s">
        <v>156</v>
      </c>
      <c r="AD1005" s="434">
        <f>1343458+13469</f>
        <v>1356927</v>
      </c>
      <c r="AE1005" s="434">
        <f>1343458+13469</f>
        <v>1356927</v>
      </c>
      <c r="AF1005" s="468">
        <v>1356927</v>
      </c>
      <c r="AG1005" s="478">
        <f t="shared" si="316"/>
        <v>1</v>
      </c>
    </row>
    <row r="1006" spans="24:34" s="3" customFormat="1" x14ac:dyDescent="0.25">
      <c r="X1006" s="340" t="s">
        <v>95</v>
      </c>
      <c r="Y1006" s="341" t="s">
        <v>442</v>
      </c>
      <c r="Z1006" s="378" t="s">
        <v>36</v>
      </c>
      <c r="AA1006" s="343"/>
      <c r="AB1006" s="344"/>
      <c r="AC1006" s="393"/>
      <c r="AD1006" s="346">
        <f>AD1007+AD1014</f>
        <v>31433.7</v>
      </c>
      <c r="AE1006" s="346">
        <f>AE1007+AE1014</f>
        <v>31433.8</v>
      </c>
      <c r="AF1006" s="467">
        <f>AF1007+AF1014</f>
        <v>31433.600000000002</v>
      </c>
      <c r="AG1006" s="477">
        <f t="shared" si="316"/>
        <v>0.99999363742213809</v>
      </c>
    </row>
    <row r="1007" spans="24:34" s="3" customFormat="1" x14ac:dyDescent="0.25">
      <c r="X1007" s="347" t="s">
        <v>56</v>
      </c>
      <c r="Y1007" s="348" t="s">
        <v>442</v>
      </c>
      <c r="Z1007" s="349">
        <v>10</v>
      </c>
      <c r="AA1007" s="350" t="s">
        <v>29</v>
      </c>
      <c r="AB1007" s="351"/>
      <c r="AC1007" s="393"/>
      <c r="AD1007" s="353">
        <f t="shared" ref="AD1007:AF1012" si="320">AD1008</f>
        <v>951.4</v>
      </c>
      <c r="AE1007" s="353">
        <f t="shared" si="320"/>
        <v>951.5</v>
      </c>
      <c r="AF1007" s="468">
        <f t="shared" si="320"/>
        <v>951.4</v>
      </c>
      <c r="AG1007" s="478">
        <f t="shared" si="316"/>
        <v>0.9998949027850762</v>
      </c>
    </row>
    <row r="1008" spans="24:34" s="3" customFormat="1" x14ac:dyDescent="0.25">
      <c r="X1008" s="354" t="s">
        <v>300</v>
      </c>
      <c r="Y1008" s="348" t="s">
        <v>442</v>
      </c>
      <c r="Z1008" s="349">
        <v>10</v>
      </c>
      <c r="AA1008" s="350" t="s">
        <v>29</v>
      </c>
      <c r="AB1008" s="355" t="s">
        <v>110</v>
      </c>
      <c r="AC1008" s="393"/>
      <c r="AD1008" s="353">
        <f t="shared" si="320"/>
        <v>951.4</v>
      </c>
      <c r="AE1008" s="353">
        <f t="shared" si="320"/>
        <v>951.5</v>
      </c>
      <c r="AF1008" s="468">
        <f t="shared" si="320"/>
        <v>951.4</v>
      </c>
      <c r="AG1008" s="478">
        <f t="shared" si="316"/>
        <v>0.9998949027850762</v>
      </c>
    </row>
    <row r="1009" spans="24:33" s="3" customFormat="1" x14ac:dyDescent="0.25">
      <c r="X1009" s="354" t="s">
        <v>301</v>
      </c>
      <c r="Y1009" s="348" t="s">
        <v>442</v>
      </c>
      <c r="Z1009" s="349">
        <v>10</v>
      </c>
      <c r="AA1009" s="350" t="s">
        <v>29</v>
      </c>
      <c r="AB1009" s="355" t="s">
        <v>119</v>
      </c>
      <c r="AC1009" s="393"/>
      <c r="AD1009" s="353">
        <f t="shared" si="320"/>
        <v>951.4</v>
      </c>
      <c r="AE1009" s="353">
        <f t="shared" si="320"/>
        <v>951.5</v>
      </c>
      <c r="AF1009" s="468">
        <f t="shared" si="320"/>
        <v>951.4</v>
      </c>
      <c r="AG1009" s="478">
        <f t="shared" si="316"/>
        <v>0.9998949027850762</v>
      </c>
    </row>
    <row r="1010" spans="24:33" s="3" customFormat="1" ht="31.5" x14ac:dyDescent="0.25">
      <c r="X1010" s="354" t="s">
        <v>302</v>
      </c>
      <c r="Y1010" s="348" t="s">
        <v>442</v>
      </c>
      <c r="Z1010" s="349">
        <v>10</v>
      </c>
      <c r="AA1010" s="350" t="s">
        <v>29</v>
      </c>
      <c r="AB1010" s="355" t="s">
        <v>497</v>
      </c>
      <c r="AC1010" s="393"/>
      <c r="AD1010" s="353">
        <f t="shared" si="320"/>
        <v>951.4</v>
      </c>
      <c r="AE1010" s="353">
        <f t="shared" si="320"/>
        <v>951.5</v>
      </c>
      <c r="AF1010" s="468">
        <f t="shared" si="320"/>
        <v>951.4</v>
      </c>
      <c r="AG1010" s="478">
        <f t="shared" si="316"/>
        <v>0.9998949027850762</v>
      </c>
    </row>
    <row r="1011" spans="24:33" s="3" customFormat="1" ht="31.5" x14ac:dyDescent="0.25">
      <c r="X1011" s="368" t="s">
        <v>303</v>
      </c>
      <c r="Y1011" s="348" t="s">
        <v>442</v>
      </c>
      <c r="Z1011" s="349">
        <v>10</v>
      </c>
      <c r="AA1011" s="350" t="s">
        <v>29</v>
      </c>
      <c r="AB1011" s="355" t="s">
        <v>496</v>
      </c>
      <c r="AC1011" s="393"/>
      <c r="AD1011" s="353">
        <f t="shared" si="320"/>
        <v>951.4</v>
      </c>
      <c r="AE1011" s="353">
        <f t="shared" si="320"/>
        <v>951.5</v>
      </c>
      <c r="AF1011" s="468">
        <f t="shared" si="320"/>
        <v>951.4</v>
      </c>
      <c r="AG1011" s="478">
        <f t="shared" si="316"/>
        <v>0.9998949027850762</v>
      </c>
    </row>
    <row r="1012" spans="24:33" s="3" customFormat="1" x14ac:dyDescent="0.25">
      <c r="X1012" s="347" t="s">
        <v>98</v>
      </c>
      <c r="Y1012" s="348" t="s">
        <v>442</v>
      </c>
      <c r="Z1012" s="349">
        <v>10</v>
      </c>
      <c r="AA1012" s="350" t="s">
        <v>29</v>
      </c>
      <c r="AB1012" s="355" t="s">
        <v>496</v>
      </c>
      <c r="AC1012" s="357">
        <v>300</v>
      </c>
      <c r="AD1012" s="353">
        <f t="shared" si="320"/>
        <v>951.4</v>
      </c>
      <c r="AE1012" s="353">
        <f t="shared" si="320"/>
        <v>951.5</v>
      </c>
      <c r="AF1012" s="468">
        <f t="shared" si="320"/>
        <v>951.4</v>
      </c>
      <c r="AG1012" s="478">
        <f t="shared" si="316"/>
        <v>0.9998949027850762</v>
      </c>
    </row>
    <row r="1013" spans="24:33" s="3" customFormat="1" x14ac:dyDescent="0.25">
      <c r="X1013" s="347" t="s">
        <v>40</v>
      </c>
      <c r="Y1013" s="348" t="s">
        <v>442</v>
      </c>
      <c r="Z1013" s="349">
        <v>10</v>
      </c>
      <c r="AA1013" s="350" t="s">
        <v>29</v>
      </c>
      <c r="AB1013" s="355" t="s">
        <v>496</v>
      </c>
      <c r="AC1013" s="357">
        <v>320</v>
      </c>
      <c r="AD1013" s="353">
        <f>936+15.4</f>
        <v>951.4</v>
      </c>
      <c r="AE1013" s="353">
        <f>936+15.4+0.1</f>
        <v>951.5</v>
      </c>
      <c r="AF1013" s="468">
        <v>951.4</v>
      </c>
      <c r="AG1013" s="478">
        <f t="shared" si="316"/>
        <v>0.9998949027850762</v>
      </c>
    </row>
    <row r="1014" spans="24:33" s="3" customFormat="1" x14ac:dyDescent="0.25">
      <c r="X1014" s="347" t="s">
        <v>31</v>
      </c>
      <c r="Y1014" s="348" t="s">
        <v>442</v>
      </c>
      <c r="Z1014" s="349">
        <v>10</v>
      </c>
      <c r="AA1014" s="350" t="s">
        <v>48</v>
      </c>
      <c r="AB1014" s="351"/>
      <c r="AC1014" s="357"/>
      <c r="AD1014" s="353">
        <f t="shared" ref="AD1014:AF1016" si="321">AD1015</f>
        <v>30482.3</v>
      </c>
      <c r="AE1014" s="353">
        <f t="shared" si="321"/>
        <v>30482.3</v>
      </c>
      <c r="AF1014" s="468">
        <f t="shared" si="321"/>
        <v>30482.2</v>
      </c>
      <c r="AG1014" s="478">
        <f t="shared" si="316"/>
        <v>0.99999671940765633</v>
      </c>
    </row>
    <row r="1015" spans="24:33" s="3" customFormat="1" x14ac:dyDescent="0.25">
      <c r="X1015" s="354" t="s">
        <v>182</v>
      </c>
      <c r="Y1015" s="348" t="s">
        <v>442</v>
      </c>
      <c r="Z1015" s="349">
        <v>10</v>
      </c>
      <c r="AA1015" s="350" t="s">
        <v>48</v>
      </c>
      <c r="AB1015" s="355" t="s">
        <v>117</v>
      </c>
      <c r="AC1015" s="357"/>
      <c r="AD1015" s="353">
        <f t="shared" si="321"/>
        <v>30482.3</v>
      </c>
      <c r="AE1015" s="353">
        <f t="shared" si="321"/>
        <v>30482.3</v>
      </c>
      <c r="AF1015" s="468">
        <f t="shared" si="321"/>
        <v>30482.2</v>
      </c>
      <c r="AG1015" s="478">
        <f t="shared" si="316"/>
        <v>0.99999671940765633</v>
      </c>
    </row>
    <row r="1016" spans="24:33" s="3" customFormat="1" x14ac:dyDescent="0.25">
      <c r="X1016" s="354" t="s">
        <v>181</v>
      </c>
      <c r="Y1016" s="348" t="s">
        <v>442</v>
      </c>
      <c r="Z1016" s="349">
        <v>10</v>
      </c>
      <c r="AA1016" s="350" t="s">
        <v>48</v>
      </c>
      <c r="AB1016" s="355" t="s">
        <v>144</v>
      </c>
      <c r="AC1016" s="357"/>
      <c r="AD1016" s="353">
        <f t="shared" si="321"/>
        <v>30482.3</v>
      </c>
      <c r="AE1016" s="353">
        <f t="shared" si="321"/>
        <v>30482.3</v>
      </c>
      <c r="AF1016" s="468">
        <f t="shared" si="321"/>
        <v>30482.2</v>
      </c>
      <c r="AG1016" s="478">
        <f t="shared" si="316"/>
        <v>0.99999671940765633</v>
      </c>
    </row>
    <row r="1017" spans="24:33" s="3" customFormat="1" ht="47.25" x14ac:dyDescent="0.25">
      <c r="X1017" s="354" t="s">
        <v>451</v>
      </c>
      <c r="Y1017" s="348" t="s">
        <v>442</v>
      </c>
      <c r="Z1017" s="349">
        <v>10</v>
      </c>
      <c r="AA1017" s="350" t="s">
        <v>48</v>
      </c>
      <c r="AB1017" s="355" t="s">
        <v>143</v>
      </c>
      <c r="AC1017" s="357"/>
      <c r="AD1017" s="353">
        <f>AD1021+AD1018</f>
        <v>30482.3</v>
      </c>
      <c r="AE1017" s="353">
        <f>AE1021+AE1018</f>
        <v>30482.3</v>
      </c>
      <c r="AF1017" s="468">
        <f>AF1021+AF1018</f>
        <v>30482.2</v>
      </c>
      <c r="AG1017" s="478">
        <f t="shared" si="316"/>
        <v>0.99999671940765633</v>
      </c>
    </row>
    <row r="1018" spans="24:33" s="3" customFormat="1" ht="34.15" customHeight="1" x14ac:dyDescent="0.25">
      <c r="X1018" s="435" t="s">
        <v>714</v>
      </c>
      <c r="Y1018" s="348" t="s">
        <v>442</v>
      </c>
      <c r="Z1018" s="349">
        <v>10</v>
      </c>
      <c r="AA1018" s="350" t="s">
        <v>48</v>
      </c>
      <c r="AB1018" s="355" t="s">
        <v>715</v>
      </c>
      <c r="AC1018" s="357"/>
      <c r="AD1018" s="353">
        <f t="shared" ref="AD1018:AF1019" si="322">AD1019</f>
        <v>375.8</v>
      </c>
      <c r="AE1018" s="353">
        <f t="shared" si="322"/>
        <v>375.8</v>
      </c>
      <c r="AF1018" s="468">
        <f t="shared" si="322"/>
        <v>375.8</v>
      </c>
      <c r="AG1018" s="478">
        <f t="shared" si="316"/>
        <v>1</v>
      </c>
    </row>
    <row r="1019" spans="24:33" s="3" customFormat="1" x14ac:dyDescent="0.25">
      <c r="X1019" s="347" t="s">
        <v>98</v>
      </c>
      <c r="Y1019" s="348" t="s">
        <v>442</v>
      </c>
      <c r="Z1019" s="349">
        <v>10</v>
      </c>
      <c r="AA1019" s="350" t="s">
        <v>48</v>
      </c>
      <c r="AB1019" s="355" t="s">
        <v>715</v>
      </c>
      <c r="AC1019" s="357">
        <v>300</v>
      </c>
      <c r="AD1019" s="353">
        <f t="shared" si="322"/>
        <v>375.8</v>
      </c>
      <c r="AE1019" s="353">
        <f t="shared" si="322"/>
        <v>375.8</v>
      </c>
      <c r="AF1019" s="468">
        <f t="shared" si="322"/>
        <v>375.8</v>
      </c>
      <c r="AG1019" s="478">
        <f t="shared" si="316"/>
        <v>1</v>
      </c>
    </row>
    <row r="1020" spans="24:33" s="3" customFormat="1" x14ac:dyDescent="0.25">
      <c r="X1020" s="347" t="s">
        <v>24</v>
      </c>
      <c r="Y1020" s="348" t="s">
        <v>442</v>
      </c>
      <c r="Z1020" s="349">
        <v>10</v>
      </c>
      <c r="AA1020" s="350" t="s">
        <v>48</v>
      </c>
      <c r="AB1020" s="355" t="s">
        <v>715</v>
      </c>
      <c r="AC1020" s="357">
        <v>320</v>
      </c>
      <c r="AD1020" s="353">
        <v>375.8</v>
      </c>
      <c r="AE1020" s="353">
        <v>375.8</v>
      </c>
      <c r="AF1020" s="468">
        <v>375.8</v>
      </c>
      <c r="AG1020" s="478">
        <f t="shared" si="316"/>
        <v>1</v>
      </c>
    </row>
    <row r="1021" spans="24:33" s="3" customFormat="1" ht="26.25" customHeight="1" x14ac:dyDescent="0.25">
      <c r="X1021" s="354" t="s">
        <v>179</v>
      </c>
      <c r="Y1021" s="348" t="s">
        <v>442</v>
      </c>
      <c r="Z1021" s="349">
        <v>10</v>
      </c>
      <c r="AA1021" s="350" t="s">
        <v>48</v>
      </c>
      <c r="AB1021" s="355" t="s">
        <v>180</v>
      </c>
      <c r="AC1021" s="357"/>
      <c r="AD1021" s="353">
        <f t="shared" ref="AD1021:AF1022" si="323">AD1022</f>
        <v>30106.5</v>
      </c>
      <c r="AE1021" s="353">
        <f t="shared" si="323"/>
        <v>30106.5</v>
      </c>
      <c r="AF1021" s="468">
        <f t="shared" si="323"/>
        <v>30106.400000000001</v>
      </c>
      <c r="AG1021" s="478">
        <f t="shared" si="316"/>
        <v>0.99999667845814033</v>
      </c>
    </row>
    <row r="1022" spans="24:33" s="3" customFormat="1" ht="23.25" customHeight="1" x14ac:dyDescent="0.25">
      <c r="X1022" s="347" t="s">
        <v>98</v>
      </c>
      <c r="Y1022" s="348" t="s">
        <v>442</v>
      </c>
      <c r="Z1022" s="349">
        <v>10</v>
      </c>
      <c r="AA1022" s="350" t="s">
        <v>48</v>
      </c>
      <c r="AB1022" s="355" t="s">
        <v>180</v>
      </c>
      <c r="AC1022" s="357">
        <v>300</v>
      </c>
      <c r="AD1022" s="353">
        <f t="shared" si="323"/>
        <v>30106.5</v>
      </c>
      <c r="AE1022" s="353">
        <f t="shared" si="323"/>
        <v>30106.5</v>
      </c>
      <c r="AF1022" s="468">
        <f t="shared" si="323"/>
        <v>30106.400000000001</v>
      </c>
      <c r="AG1022" s="478">
        <f t="shared" si="316"/>
        <v>0.99999667845814033</v>
      </c>
    </row>
    <row r="1023" spans="24:33" s="3" customFormat="1" ht="23.25" customHeight="1" x14ac:dyDescent="0.25">
      <c r="X1023" s="347" t="s">
        <v>24</v>
      </c>
      <c r="Y1023" s="348" t="s">
        <v>442</v>
      </c>
      <c r="Z1023" s="349">
        <v>10</v>
      </c>
      <c r="AA1023" s="350" t="s">
        <v>48</v>
      </c>
      <c r="AB1023" s="355" t="s">
        <v>180</v>
      </c>
      <c r="AC1023" s="357">
        <v>320</v>
      </c>
      <c r="AD1023" s="353">
        <f>16528+13578.5</f>
        <v>30106.5</v>
      </c>
      <c r="AE1023" s="353">
        <f>16528+13578.5</f>
        <v>30106.5</v>
      </c>
      <c r="AF1023" s="468">
        <v>30106.400000000001</v>
      </c>
      <c r="AG1023" s="478">
        <f t="shared" si="316"/>
        <v>0.99999667845814033</v>
      </c>
    </row>
    <row r="1024" spans="24:33" s="3" customFormat="1" ht="18.75" x14ac:dyDescent="0.3">
      <c r="X1024" s="340" t="s">
        <v>444</v>
      </c>
      <c r="Y1024" s="341">
        <v>904</v>
      </c>
      <c r="Z1024" s="415"/>
      <c r="AA1024" s="416"/>
      <c r="AB1024" s="351"/>
      <c r="AC1024" s="409"/>
      <c r="AD1024" s="346">
        <f>AD1025+AD1041</f>
        <v>11984.100000000002</v>
      </c>
      <c r="AE1024" s="346">
        <f t="shared" ref="AE1024:AF1024" si="324">AE1025+AE1041</f>
        <v>11984.100000000002</v>
      </c>
      <c r="AF1024" s="346">
        <f t="shared" si="324"/>
        <v>11966.5</v>
      </c>
      <c r="AG1024" s="477">
        <f t="shared" si="316"/>
        <v>0.99853138742166681</v>
      </c>
    </row>
    <row r="1025" spans="24:34" s="3" customFormat="1" x14ac:dyDescent="0.25">
      <c r="X1025" s="340" t="s">
        <v>25</v>
      </c>
      <c r="Y1025" s="341">
        <v>904</v>
      </c>
      <c r="Z1025" s="342" t="s">
        <v>29</v>
      </c>
      <c r="AA1025" s="400"/>
      <c r="AB1025" s="344"/>
      <c r="AC1025" s="345"/>
      <c r="AD1025" s="346">
        <f t="shared" ref="AD1025:AF1027" si="325">AD1026</f>
        <v>11400.200000000003</v>
      </c>
      <c r="AE1025" s="346">
        <f t="shared" si="325"/>
        <v>11400.200000000003</v>
      </c>
      <c r="AF1025" s="467">
        <f t="shared" si="325"/>
        <v>11382.7</v>
      </c>
      <c r="AG1025" s="477">
        <f t="shared" si="316"/>
        <v>0.99846493921159263</v>
      </c>
    </row>
    <row r="1026" spans="24:34" s="3" customFormat="1" ht="31.5" x14ac:dyDescent="0.25">
      <c r="X1026" s="347" t="s">
        <v>437</v>
      </c>
      <c r="Y1026" s="348">
        <v>904</v>
      </c>
      <c r="Z1026" s="349" t="s">
        <v>29</v>
      </c>
      <c r="AA1026" s="350" t="s">
        <v>96</v>
      </c>
      <c r="AB1026" s="344"/>
      <c r="AC1026" s="345"/>
      <c r="AD1026" s="353">
        <f t="shared" si="325"/>
        <v>11400.200000000003</v>
      </c>
      <c r="AE1026" s="353">
        <f t="shared" si="325"/>
        <v>11400.200000000003</v>
      </c>
      <c r="AF1026" s="468">
        <f t="shared" si="325"/>
        <v>11382.7</v>
      </c>
      <c r="AG1026" s="478">
        <f t="shared" si="316"/>
        <v>0.99846493921159263</v>
      </c>
    </row>
    <row r="1027" spans="24:34" s="3" customFormat="1" ht="18.600000000000001" customHeight="1" x14ac:dyDescent="0.25">
      <c r="X1027" s="354" t="s">
        <v>282</v>
      </c>
      <c r="Y1027" s="348">
        <v>904</v>
      </c>
      <c r="Z1027" s="349" t="s">
        <v>29</v>
      </c>
      <c r="AA1027" s="350" t="s">
        <v>96</v>
      </c>
      <c r="AB1027" s="355" t="s">
        <v>100</v>
      </c>
      <c r="AC1027" s="357"/>
      <c r="AD1027" s="353">
        <f t="shared" si="325"/>
        <v>11400.200000000003</v>
      </c>
      <c r="AE1027" s="353">
        <f t="shared" si="325"/>
        <v>11400.200000000003</v>
      </c>
      <c r="AF1027" s="468">
        <f t="shared" si="325"/>
        <v>11382.7</v>
      </c>
      <c r="AG1027" s="478">
        <f t="shared" si="316"/>
        <v>0.99846493921159263</v>
      </c>
    </row>
    <row r="1028" spans="24:34" s="3" customFormat="1" x14ac:dyDescent="0.25">
      <c r="X1028" s="368" t="s">
        <v>280</v>
      </c>
      <c r="Y1028" s="348">
        <v>904</v>
      </c>
      <c r="Z1028" s="349" t="s">
        <v>29</v>
      </c>
      <c r="AA1028" s="350" t="s">
        <v>96</v>
      </c>
      <c r="AB1028" s="355" t="s">
        <v>281</v>
      </c>
      <c r="AC1028" s="357"/>
      <c r="AD1028" s="353">
        <f>AD1029+AD1035+AD1032+AD1038</f>
        <v>11400.200000000003</v>
      </c>
      <c r="AE1028" s="353">
        <f>AE1029+AE1035+AE1032+AE1038</f>
        <v>11400.200000000003</v>
      </c>
      <c r="AF1028" s="468">
        <f>AF1029+AF1035+AF1032+AF1038</f>
        <v>11382.7</v>
      </c>
      <c r="AG1028" s="478">
        <f t="shared" si="316"/>
        <v>0.99846493921159263</v>
      </c>
    </row>
    <row r="1029" spans="24:34" s="3" customFormat="1" x14ac:dyDescent="0.25">
      <c r="X1029" s="347" t="s">
        <v>283</v>
      </c>
      <c r="Y1029" s="348">
        <v>904</v>
      </c>
      <c r="Z1029" s="349" t="s">
        <v>29</v>
      </c>
      <c r="AA1029" s="350" t="s">
        <v>96</v>
      </c>
      <c r="AB1029" s="355" t="s">
        <v>284</v>
      </c>
      <c r="AC1029" s="357"/>
      <c r="AD1029" s="353">
        <f t="shared" ref="AD1029:AF1030" si="326">AD1030</f>
        <v>1251.9000000000001</v>
      </c>
      <c r="AE1029" s="353">
        <f t="shared" si="326"/>
        <v>1251.9000000000001</v>
      </c>
      <c r="AF1029" s="468">
        <f t="shared" si="326"/>
        <v>1250.3</v>
      </c>
      <c r="AG1029" s="478">
        <f t="shared" si="316"/>
        <v>0.99872194264717618</v>
      </c>
      <c r="AH1029" s="19"/>
    </row>
    <row r="1030" spans="24:34" s="3" customFormat="1" x14ac:dyDescent="0.25">
      <c r="X1030" s="347" t="s">
        <v>121</v>
      </c>
      <c r="Y1030" s="348">
        <v>904</v>
      </c>
      <c r="Z1030" s="349" t="s">
        <v>29</v>
      </c>
      <c r="AA1030" s="350" t="s">
        <v>96</v>
      </c>
      <c r="AB1030" s="355" t="s">
        <v>284</v>
      </c>
      <c r="AC1030" s="357">
        <v>200</v>
      </c>
      <c r="AD1030" s="353">
        <f t="shared" si="326"/>
        <v>1251.9000000000001</v>
      </c>
      <c r="AE1030" s="353">
        <f t="shared" si="326"/>
        <v>1251.9000000000001</v>
      </c>
      <c r="AF1030" s="468">
        <f t="shared" si="326"/>
        <v>1250.3</v>
      </c>
      <c r="AG1030" s="478">
        <f t="shared" si="316"/>
        <v>0.99872194264717618</v>
      </c>
      <c r="AH1030" s="19"/>
    </row>
    <row r="1031" spans="24:34" s="3" customFormat="1" ht="37.5" customHeight="1" x14ac:dyDescent="0.25">
      <c r="X1031" s="347" t="s">
        <v>52</v>
      </c>
      <c r="Y1031" s="348">
        <v>904</v>
      </c>
      <c r="Z1031" s="349" t="s">
        <v>29</v>
      </c>
      <c r="AA1031" s="350" t="s">
        <v>96</v>
      </c>
      <c r="AB1031" s="355" t="s">
        <v>284</v>
      </c>
      <c r="AC1031" s="357">
        <v>240</v>
      </c>
      <c r="AD1031" s="353">
        <f>1281.9-30</f>
        <v>1251.9000000000001</v>
      </c>
      <c r="AE1031" s="353">
        <f>1281.9-30</f>
        <v>1251.9000000000001</v>
      </c>
      <c r="AF1031" s="468">
        <v>1250.3</v>
      </c>
      <c r="AG1031" s="478">
        <f t="shared" si="316"/>
        <v>0.99872194264717618</v>
      </c>
      <c r="AH1031" s="19"/>
    </row>
    <row r="1032" spans="24:34" s="3" customFormat="1" ht="31.5" x14ac:dyDescent="0.25">
      <c r="X1032" s="347" t="s">
        <v>285</v>
      </c>
      <c r="Y1032" s="348">
        <v>904</v>
      </c>
      <c r="Z1032" s="349" t="s">
        <v>29</v>
      </c>
      <c r="AA1032" s="350" t="s">
        <v>96</v>
      </c>
      <c r="AB1032" s="355" t="s">
        <v>286</v>
      </c>
      <c r="AC1032" s="357"/>
      <c r="AD1032" s="353">
        <f t="shared" ref="AD1032:AF1033" si="327">AD1033</f>
        <v>2758.9000000000005</v>
      </c>
      <c r="AE1032" s="353">
        <f t="shared" si="327"/>
        <v>2758.9000000000005</v>
      </c>
      <c r="AF1032" s="468">
        <f t="shared" si="327"/>
        <v>2758.9</v>
      </c>
      <c r="AG1032" s="478">
        <f t="shared" si="316"/>
        <v>0.99999999999999989</v>
      </c>
      <c r="AH1032" s="19"/>
    </row>
    <row r="1033" spans="24:34" s="3" customFormat="1" ht="47.25" x14ac:dyDescent="0.25">
      <c r="X1033" s="347" t="s">
        <v>41</v>
      </c>
      <c r="Y1033" s="348">
        <v>904</v>
      </c>
      <c r="Z1033" s="349" t="s">
        <v>29</v>
      </c>
      <c r="AA1033" s="350" t="s">
        <v>96</v>
      </c>
      <c r="AB1033" s="355" t="s">
        <v>286</v>
      </c>
      <c r="AC1033" s="357">
        <v>100</v>
      </c>
      <c r="AD1033" s="353">
        <f t="shared" si="327"/>
        <v>2758.9000000000005</v>
      </c>
      <c r="AE1033" s="353">
        <f t="shared" si="327"/>
        <v>2758.9000000000005</v>
      </c>
      <c r="AF1033" s="468">
        <f t="shared" si="327"/>
        <v>2758.9</v>
      </c>
      <c r="AG1033" s="478">
        <f t="shared" si="316"/>
        <v>0.99999999999999989</v>
      </c>
      <c r="AH1033" s="19"/>
    </row>
    <row r="1034" spans="24:34" s="3" customFormat="1" x14ac:dyDescent="0.25">
      <c r="X1034" s="347" t="s">
        <v>97</v>
      </c>
      <c r="Y1034" s="348">
        <v>904</v>
      </c>
      <c r="Z1034" s="349" t="s">
        <v>29</v>
      </c>
      <c r="AA1034" s="350" t="s">
        <v>96</v>
      </c>
      <c r="AB1034" s="355" t="s">
        <v>286</v>
      </c>
      <c r="AC1034" s="357">
        <v>120</v>
      </c>
      <c r="AD1034" s="353">
        <f>2308.3+17.3+57.4+100+29.1+8.8+30+208</f>
        <v>2758.9000000000005</v>
      </c>
      <c r="AE1034" s="353">
        <f>2308.3+17.3+57.4+100+29.1+8.8+30+208</f>
        <v>2758.9000000000005</v>
      </c>
      <c r="AF1034" s="468">
        <v>2758.9</v>
      </c>
      <c r="AG1034" s="478">
        <f t="shared" si="316"/>
        <v>0.99999999999999989</v>
      </c>
      <c r="AH1034" s="19"/>
    </row>
    <row r="1035" spans="24:34" s="3" customFormat="1" ht="31.5" x14ac:dyDescent="0.25">
      <c r="X1035" s="347" t="s">
        <v>288</v>
      </c>
      <c r="Y1035" s="348">
        <v>904</v>
      </c>
      <c r="Z1035" s="349" t="s">
        <v>29</v>
      </c>
      <c r="AA1035" s="350" t="s">
        <v>96</v>
      </c>
      <c r="AB1035" s="355" t="s">
        <v>287</v>
      </c>
      <c r="AC1035" s="357"/>
      <c r="AD1035" s="353">
        <f t="shared" ref="AD1035:AF1036" si="328">AD1036</f>
        <v>4587.3</v>
      </c>
      <c r="AE1035" s="353">
        <f t="shared" si="328"/>
        <v>4587.3</v>
      </c>
      <c r="AF1035" s="468">
        <f t="shared" si="328"/>
        <v>4571.3999999999996</v>
      </c>
      <c r="AG1035" s="478">
        <f t="shared" si="316"/>
        <v>0.99653390883526249</v>
      </c>
      <c r="AH1035" s="19"/>
    </row>
    <row r="1036" spans="24:34" s="3" customFormat="1" ht="47.25" x14ac:dyDescent="0.25">
      <c r="X1036" s="347" t="s">
        <v>41</v>
      </c>
      <c r="Y1036" s="348">
        <v>904</v>
      </c>
      <c r="Z1036" s="349" t="s">
        <v>29</v>
      </c>
      <c r="AA1036" s="350" t="s">
        <v>96</v>
      </c>
      <c r="AB1036" s="355" t="s">
        <v>287</v>
      </c>
      <c r="AC1036" s="357">
        <v>100</v>
      </c>
      <c r="AD1036" s="353">
        <f t="shared" si="328"/>
        <v>4587.3</v>
      </c>
      <c r="AE1036" s="353">
        <f t="shared" si="328"/>
        <v>4587.3</v>
      </c>
      <c r="AF1036" s="468">
        <f t="shared" si="328"/>
        <v>4571.3999999999996</v>
      </c>
      <c r="AG1036" s="478">
        <f t="shared" si="316"/>
        <v>0.99653390883526249</v>
      </c>
      <c r="AH1036" s="19"/>
    </row>
    <row r="1037" spans="24:34" s="3" customFormat="1" x14ac:dyDescent="0.25">
      <c r="X1037" s="347" t="s">
        <v>97</v>
      </c>
      <c r="Y1037" s="348">
        <v>904</v>
      </c>
      <c r="Z1037" s="349" t="s">
        <v>29</v>
      </c>
      <c r="AA1037" s="350" t="s">
        <v>96</v>
      </c>
      <c r="AB1037" s="355" t="s">
        <v>287</v>
      </c>
      <c r="AC1037" s="357">
        <v>120</v>
      </c>
      <c r="AD1037" s="353">
        <f>4358.4-74.7-26.2-172-100-37.9+50.5+589.2</f>
        <v>4587.3</v>
      </c>
      <c r="AE1037" s="353">
        <f>4358.4-74.7-26.2-172-100-37.9+50.5+589.2</f>
        <v>4587.3</v>
      </c>
      <c r="AF1037" s="468">
        <v>4571.3999999999996</v>
      </c>
      <c r="AG1037" s="478">
        <f t="shared" si="316"/>
        <v>0.99653390883526249</v>
      </c>
      <c r="AH1037" s="206"/>
    </row>
    <row r="1038" spans="24:34" s="3" customFormat="1" ht="31.5" x14ac:dyDescent="0.25">
      <c r="X1038" s="347" t="s">
        <v>445</v>
      </c>
      <c r="Y1038" s="348">
        <v>904</v>
      </c>
      <c r="Z1038" s="349" t="s">
        <v>29</v>
      </c>
      <c r="AA1038" s="350" t="s">
        <v>96</v>
      </c>
      <c r="AB1038" s="355" t="s">
        <v>430</v>
      </c>
      <c r="AC1038" s="357"/>
      <c r="AD1038" s="353">
        <f t="shared" ref="AD1038:AF1039" si="329">AD1039</f>
        <v>2802.1</v>
      </c>
      <c r="AE1038" s="353">
        <f t="shared" si="329"/>
        <v>2802.1</v>
      </c>
      <c r="AF1038" s="468">
        <f t="shared" si="329"/>
        <v>2802.1</v>
      </c>
      <c r="AG1038" s="478">
        <f t="shared" si="316"/>
        <v>1</v>
      </c>
      <c r="AH1038" s="19"/>
    </row>
    <row r="1039" spans="24:34" s="3" customFormat="1" ht="47.25" x14ac:dyDescent="0.25">
      <c r="X1039" s="347" t="s">
        <v>41</v>
      </c>
      <c r="Y1039" s="348">
        <v>904</v>
      </c>
      <c r="Z1039" s="349" t="s">
        <v>29</v>
      </c>
      <c r="AA1039" s="350" t="s">
        <v>96</v>
      </c>
      <c r="AB1039" s="355" t="s">
        <v>430</v>
      </c>
      <c r="AC1039" s="357">
        <v>100</v>
      </c>
      <c r="AD1039" s="353">
        <f t="shared" si="329"/>
        <v>2802.1</v>
      </c>
      <c r="AE1039" s="353">
        <f t="shared" si="329"/>
        <v>2802.1</v>
      </c>
      <c r="AF1039" s="468">
        <f t="shared" si="329"/>
        <v>2802.1</v>
      </c>
      <c r="AG1039" s="478">
        <f t="shared" si="316"/>
        <v>1</v>
      </c>
      <c r="AH1039" s="19"/>
    </row>
    <row r="1040" spans="24:34" s="3" customFormat="1" x14ac:dyDescent="0.25">
      <c r="X1040" s="347" t="s">
        <v>97</v>
      </c>
      <c r="Y1040" s="348">
        <v>904</v>
      </c>
      <c r="Z1040" s="349" t="s">
        <v>29</v>
      </c>
      <c r="AA1040" s="350" t="s">
        <v>96</v>
      </c>
      <c r="AB1040" s="355" t="s">
        <v>430</v>
      </c>
      <c r="AC1040" s="357">
        <v>120</v>
      </c>
      <c r="AD1040" s="353">
        <f>2654.4+172+26.2-50.5</f>
        <v>2802.1</v>
      </c>
      <c r="AE1040" s="353">
        <f>2654.4+172+26.2-50.5</f>
        <v>2802.1</v>
      </c>
      <c r="AF1040" s="468">
        <v>2802.1</v>
      </c>
      <c r="AG1040" s="478">
        <f t="shared" si="316"/>
        <v>1</v>
      </c>
      <c r="AH1040" s="19"/>
    </row>
    <row r="1041" spans="24:34" s="3" customFormat="1" x14ac:dyDescent="0.25">
      <c r="X1041" s="340" t="s">
        <v>95</v>
      </c>
      <c r="Y1041" s="341" t="s">
        <v>67</v>
      </c>
      <c r="Z1041" s="378" t="s">
        <v>36</v>
      </c>
      <c r="AA1041" s="400"/>
      <c r="AB1041" s="344"/>
      <c r="AC1041" s="345"/>
      <c r="AD1041" s="346">
        <f t="shared" ref="AD1041:AF1047" si="330">AD1042</f>
        <v>583.90000000000009</v>
      </c>
      <c r="AE1041" s="346">
        <f t="shared" si="330"/>
        <v>583.90000000000009</v>
      </c>
      <c r="AF1041" s="467">
        <f t="shared" si="330"/>
        <v>583.79999999999995</v>
      </c>
      <c r="AG1041" s="477">
        <f t="shared" si="316"/>
        <v>0.99982873779756787</v>
      </c>
      <c r="AH1041" s="19"/>
    </row>
    <row r="1042" spans="24:34" s="3" customFormat="1" x14ac:dyDescent="0.25">
      <c r="X1042" s="347" t="s">
        <v>56</v>
      </c>
      <c r="Y1042" s="348">
        <v>904</v>
      </c>
      <c r="Z1042" s="349">
        <v>10</v>
      </c>
      <c r="AA1042" s="350" t="s">
        <v>29</v>
      </c>
      <c r="AB1042" s="351"/>
      <c r="AC1042" s="393"/>
      <c r="AD1042" s="353">
        <f t="shared" si="330"/>
        <v>583.90000000000009</v>
      </c>
      <c r="AE1042" s="353">
        <f t="shared" si="330"/>
        <v>583.90000000000009</v>
      </c>
      <c r="AF1042" s="468">
        <f t="shared" si="330"/>
        <v>583.79999999999995</v>
      </c>
      <c r="AG1042" s="478">
        <f t="shared" si="316"/>
        <v>0.99982873779756787</v>
      </c>
      <c r="AH1042" s="19"/>
    </row>
    <row r="1043" spans="24:34" s="3" customFormat="1" x14ac:dyDescent="0.25">
      <c r="X1043" s="354" t="s">
        <v>300</v>
      </c>
      <c r="Y1043" s="348">
        <v>904</v>
      </c>
      <c r="Z1043" s="349">
        <v>10</v>
      </c>
      <c r="AA1043" s="350" t="s">
        <v>29</v>
      </c>
      <c r="AB1043" s="355" t="s">
        <v>110</v>
      </c>
      <c r="AC1043" s="393"/>
      <c r="AD1043" s="353">
        <f t="shared" si="330"/>
        <v>583.90000000000009</v>
      </c>
      <c r="AE1043" s="353">
        <f t="shared" si="330"/>
        <v>583.90000000000009</v>
      </c>
      <c r="AF1043" s="468">
        <f t="shared" si="330"/>
        <v>583.79999999999995</v>
      </c>
      <c r="AG1043" s="478">
        <f t="shared" si="316"/>
        <v>0.99982873779756787</v>
      </c>
      <c r="AH1043" s="19"/>
    </row>
    <row r="1044" spans="24:34" s="3" customFormat="1" x14ac:dyDescent="0.25">
      <c r="X1044" s="354" t="s">
        <v>301</v>
      </c>
      <c r="Y1044" s="348">
        <v>904</v>
      </c>
      <c r="Z1044" s="349">
        <v>10</v>
      </c>
      <c r="AA1044" s="350" t="s">
        <v>29</v>
      </c>
      <c r="AB1044" s="355" t="s">
        <v>119</v>
      </c>
      <c r="AC1044" s="393"/>
      <c r="AD1044" s="353">
        <f>AD1045</f>
        <v>583.90000000000009</v>
      </c>
      <c r="AE1044" s="353">
        <f>AE1045</f>
        <v>583.90000000000009</v>
      </c>
      <c r="AF1044" s="468">
        <f>AF1045</f>
        <v>583.79999999999995</v>
      </c>
      <c r="AG1044" s="478">
        <f t="shared" si="316"/>
        <v>0.99982873779756787</v>
      </c>
      <c r="AH1044" s="19"/>
    </row>
    <row r="1045" spans="24:34" s="3" customFormat="1" ht="31.5" x14ac:dyDescent="0.25">
      <c r="X1045" s="354" t="s">
        <v>302</v>
      </c>
      <c r="Y1045" s="348">
        <v>904</v>
      </c>
      <c r="Z1045" s="349">
        <v>10</v>
      </c>
      <c r="AA1045" s="350" t="s">
        <v>29</v>
      </c>
      <c r="AB1045" s="355" t="s">
        <v>497</v>
      </c>
      <c r="AC1045" s="393"/>
      <c r="AD1045" s="353">
        <f t="shared" si="330"/>
        <v>583.90000000000009</v>
      </c>
      <c r="AE1045" s="353">
        <f t="shared" si="330"/>
        <v>583.90000000000009</v>
      </c>
      <c r="AF1045" s="468">
        <f t="shared" si="330"/>
        <v>583.79999999999995</v>
      </c>
      <c r="AG1045" s="478">
        <f t="shared" si="316"/>
        <v>0.99982873779756787</v>
      </c>
    </row>
    <row r="1046" spans="24:34" s="3" customFormat="1" ht="31.5" x14ac:dyDescent="0.25">
      <c r="X1046" s="368" t="s">
        <v>303</v>
      </c>
      <c r="Y1046" s="348">
        <v>904</v>
      </c>
      <c r="Z1046" s="349">
        <v>10</v>
      </c>
      <c r="AA1046" s="350" t="s">
        <v>29</v>
      </c>
      <c r="AB1046" s="355" t="s">
        <v>496</v>
      </c>
      <c r="AC1046" s="393"/>
      <c r="AD1046" s="353">
        <f t="shared" si="330"/>
        <v>583.90000000000009</v>
      </c>
      <c r="AE1046" s="353">
        <f t="shared" si="330"/>
        <v>583.90000000000009</v>
      </c>
      <c r="AF1046" s="468">
        <f t="shared" si="330"/>
        <v>583.79999999999995</v>
      </c>
      <c r="AG1046" s="478">
        <f t="shared" si="316"/>
        <v>0.99982873779756787</v>
      </c>
    </row>
    <row r="1047" spans="24:34" s="3" customFormat="1" x14ac:dyDescent="0.25">
      <c r="X1047" s="347" t="s">
        <v>98</v>
      </c>
      <c r="Y1047" s="348">
        <v>904</v>
      </c>
      <c r="Z1047" s="349">
        <v>10</v>
      </c>
      <c r="AA1047" s="350" t="s">
        <v>29</v>
      </c>
      <c r="AB1047" s="355" t="s">
        <v>496</v>
      </c>
      <c r="AC1047" s="357">
        <v>300</v>
      </c>
      <c r="AD1047" s="353">
        <f t="shared" si="330"/>
        <v>583.90000000000009</v>
      </c>
      <c r="AE1047" s="353">
        <f t="shared" si="330"/>
        <v>583.90000000000009</v>
      </c>
      <c r="AF1047" s="468">
        <f t="shared" si="330"/>
        <v>583.79999999999995</v>
      </c>
      <c r="AG1047" s="478">
        <f t="shared" si="316"/>
        <v>0.99982873779756787</v>
      </c>
    </row>
    <row r="1048" spans="24:34" s="3" customFormat="1" ht="17.25" thickBot="1" x14ac:dyDescent="0.3">
      <c r="X1048" s="347" t="s">
        <v>40</v>
      </c>
      <c r="Y1048" s="348">
        <v>904</v>
      </c>
      <c r="Z1048" s="349">
        <v>10</v>
      </c>
      <c r="AA1048" s="350" t="s">
        <v>29</v>
      </c>
      <c r="AB1048" s="355" t="s">
        <v>496</v>
      </c>
      <c r="AC1048" s="357">
        <v>320</v>
      </c>
      <c r="AD1048" s="483">
        <f>546.7+37.2</f>
        <v>583.90000000000009</v>
      </c>
      <c r="AE1048" s="483">
        <f>546.7+37.2</f>
        <v>583.90000000000009</v>
      </c>
      <c r="AF1048" s="484">
        <v>583.79999999999995</v>
      </c>
      <c r="AG1048" s="485">
        <f t="shared" si="316"/>
        <v>0.99982873779756787</v>
      </c>
    </row>
    <row r="1049" spans="24:34" s="3" customFormat="1" ht="17.25" thickBot="1" x14ac:dyDescent="0.3">
      <c r="X1049" s="436" t="s">
        <v>57</v>
      </c>
      <c r="Y1049" s="437"/>
      <c r="Z1049" s="438"/>
      <c r="AA1049" s="439"/>
      <c r="AB1049" s="440"/>
      <c r="AC1049" s="441"/>
      <c r="AD1049" s="442">
        <f>AD1024+AD821+AD623+AD567+AD526+AD492+AD8</f>
        <v>5547712.5</v>
      </c>
      <c r="AE1049" s="442">
        <f>AE1024+AE821+AE623+AE567+AE526+AE492+AE8</f>
        <v>5643793.0999999996</v>
      </c>
      <c r="AF1049" s="476">
        <f>AF1024+AF821+AF623+AF567+AF526+AF492+AF8</f>
        <v>5434885.8000000007</v>
      </c>
      <c r="AG1049" s="486">
        <f t="shared" si="316"/>
        <v>0.9629845927555355</v>
      </c>
    </row>
    <row r="1052" spans="24:34" s="3" customFormat="1" ht="16.899999999999999" customHeight="1" x14ac:dyDescent="0.25">
      <c r="X1052" s="12"/>
      <c r="Y1052" s="17"/>
      <c r="Z1052" s="18"/>
      <c r="AA1052" s="18"/>
      <c r="AB1052" s="21"/>
      <c r="AC1052" s="18"/>
      <c r="AD1052" s="19"/>
      <c r="AE1052" s="19"/>
      <c r="AF1052" s="19"/>
      <c r="AG1052" s="19"/>
    </row>
  </sheetData>
  <mergeCells count="9">
    <mergeCell ref="A5:T5"/>
    <mergeCell ref="X5:AC5"/>
    <mergeCell ref="A4:T4"/>
    <mergeCell ref="X4:AG4"/>
    <mergeCell ref="AJ190:AK190"/>
    <mergeCell ref="AK6:AM6"/>
    <mergeCell ref="AK4:AM4"/>
    <mergeCell ref="AK5:AM5"/>
    <mergeCell ref="AF2:AG2"/>
  </mergeCells>
  <phoneticPr fontId="0" type="noConversion"/>
  <pageMargins left="0.39370078740157483" right="0.39370078740157483" top="0.98425196850393704" bottom="0.47244094488188981" header="0.23622047244094491" footer="0.23622047244094491"/>
  <pageSetup paperSize="9" scale="66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Владелец</cp:lastModifiedBy>
  <cp:lastPrinted>2025-03-07T13:10:36Z</cp:lastPrinted>
  <dcterms:created xsi:type="dcterms:W3CDTF">2001-09-21T11:20:50Z</dcterms:created>
  <dcterms:modified xsi:type="dcterms:W3CDTF">2025-04-24T15:08:24Z</dcterms:modified>
</cp:coreProperties>
</file>